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Чукотэнерго\Тарифное регулирование\Раскрытие информации\Раскрытие предложения по тарифам\2026\к 12.12.2025 г_актуализация\"/>
    </mc:Choice>
  </mc:AlternateContent>
  <xr:revisionPtr revIDLastSave="0" documentId="13_ncr:1_{63C9D156-10CC-4344-9C7C-10D057DB5E8F}" xr6:coauthVersionLast="47" xr6:coauthVersionMax="47" xr10:uidLastSave="{00000000-0000-0000-0000-000000000000}"/>
  <workbookProtection workbookAlgorithmName="SHA-512" workbookHashValue="nFLmOjmSQawQ/n6eQJIa8MLhfB4nhT5iOvvTA1rzyQjRkbyG1/V+wzOrW74kjTXijFS0+U/nIVPH3zI4LfMA9g==" workbookSaltValue="lkGWiynVLi+i2NoiOTIShg==" workbookSpinCount="100000" lockStructure="1"/>
  <bookViews>
    <workbookView xWindow="1155" yWindow="75" windowWidth="25905" windowHeight="20640" xr2:uid="{00000000-000D-0000-FFFF-FFFF00000000}"/>
  </bookViews>
  <sheets>
    <sheet name="Лист1" sheetId="3" r:id="rId1"/>
    <sheet name="Листы2-9" sheetId="5" r:id="rId2"/>
    <sheet name="Листы 10-12" sheetId="7" r:id="rId3"/>
    <sheet name="ТЭ+ТН" sheetId="8" state="hidden" r:id="rId4"/>
    <sheet name="2024 перед." sheetId="9" state="hidden" r:id="rId5"/>
    <sheet name="2024 сбыт" sheetId="10" state="hidden" r:id="rId6"/>
    <sheet name="2024 пр-во" sheetId="11" state="hidden" r:id="rId7"/>
    <sheet name="ТС" sheetId="12" state="hidden" r:id="rId8"/>
  </sheets>
  <externalReferences>
    <externalReference r:id="rId9"/>
    <externalReference r:id="rId10"/>
    <externalReference r:id="rId11"/>
  </externalReferences>
  <definedNames>
    <definedName name="_xlnm.Print_Titles" localSheetId="1">'Листы2-9'!$3:$3</definedName>
    <definedName name="_xlnm.Print_Area" localSheetId="0">Лист1!$A$1:$D$34</definedName>
    <definedName name="_xlnm.Print_Area" localSheetId="2">'Листы 10-12'!$A$1:$M$49</definedName>
    <definedName name="_xlnm.Print_Area" localSheetId="1">'Листы2-9'!$A$1:$F$172</definedName>
  </definedNames>
  <calcPr calcId="191029" iterate="1" iterateCount="10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5" i="8" l="1"/>
  <c r="G22" i="11" l="1"/>
  <c r="G32" i="11"/>
  <c r="F32" i="11"/>
  <c r="F31" i="11"/>
  <c r="F34" i="11" l="1"/>
  <c r="E9" i="11" l="1"/>
  <c r="G21" i="11" l="1"/>
  <c r="G31" i="11" s="1"/>
  <c r="G34" i="11" s="1"/>
  <c r="E4" i="9"/>
  <c r="E5" i="9"/>
  <c r="E6" i="9"/>
  <c r="E7" i="9"/>
  <c r="E8" i="9"/>
  <c r="E9" i="9"/>
  <c r="H25" i="8" l="1"/>
  <c r="H24" i="8"/>
  <c r="I12" i="8"/>
  <c r="I11" i="8"/>
  <c r="I6" i="8"/>
  <c r="I5" i="8"/>
  <c r="C6" i="8" l="1"/>
  <c r="B6" i="8"/>
  <c r="B7" i="8" s="1"/>
  <c r="B5" i="8"/>
  <c r="C24" i="8"/>
  <c r="C23" i="8"/>
  <c r="C12" i="8"/>
  <c r="C11" i="8"/>
  <c r="C5" i="8" s="1"/>
  <c r="C7" i="8" l="1"/>
  <c r="I37" i="12"/>
  <c r="F37" i="12"/>
  <c r="D37" i="12"/>
  <c r="C37" i="12"/>
  <c r="M36" i="12"/>
  <c r="N36" i="12" s="1"/>
  <c r="L36" i="12"/>
  <c r="K36" i="12"/>
  <c r="H36" i="12"/>
  <c r="E36" i="12"/>
  <c r="M35" i="12"/>
  <c r="L35" i="12"/>
  <c r="N35" i="12" s="1"/>
  <c r="K35" i="12"/>
  <c r="H35" i="12"/>
  <c r="E35" i="12"/>
  <c r="M34" i="12"/>
  <c r="N34" i="12" s="1"/>
  <c r="L34" i="12"/>
  <c r="K34" i="12"/>
  <c r="H34" i="12"/>
  <c r="E34" i="12"/>
  <c r="M33" i="12"/>
  <c r="N33" i="12" s="1"/>
  <c r="L33" i="12"/>
  <c r="K33" i="12"/>
  <c r="H33" i="12"/>
  <c r="E33" i="12"/>
  <c r="L32" i="12"/>
  <c r="J32" i="12"/>
  <c r="K32" i="12" s="1"/>
  <c r="G32" i="12"/>
  <c r="M32" i="12" s="1"/>
  <c r="N32" i="12" s="1"/>
  <c r="E32" i="12"/>
  <c r="L31" i="12"/>
  <c r="J31" i="12"/>
  <c r="G31" i="12"/>
  <c r="H31" i="12" s="1"/>
  <c r="E31" i="12"/>
  <c r="M30" i="12"/>
  <c r="L30" i="12"/>
  <c r="K30" i="12"/>
  <c r="H30" i="12"/>
  <c r="E30" i="12"/>
  <c r="M29" i="12"/>
  <c r="L29" i="12"/>
  <c r="K29" i="12"/>
  <c r="H29" i="12"/>
  <c r="E29" i="12"/>
  <c r="M28" i="12"/>
  <c r="N28" i="12" s="1"/>
  <c r="L28" i="12"/>
  <c r="K28" i="12"/>
  <c r="H28" i="12"/>
  <c r="E28" i="12"/>
  <c r="M27" i="12"/>
  <c r="L27" i="12"/>
  <c r="K27" i="12"/>
  <c r="H27" i="12"/>
  <c r="E27" i="12"/>
  <c r="M26" i="12"/>
  <c r="L26" i="12"/>
  <c r="K26" i="12"/>
  <c r="H26" i="12"/>
  <c r="E26" i="12"/>
  <c r="M25" i="12"/>
  <c r="L25" i="12"/>
  <c r="K25" i="12"/>
  <c r="H25" i="12"/>
  <c r="E25" i="12"/>
  <c r="I19" i="12"/>
  <c r="F19" i="12"/>
  <c r="D19" i="12"/>
  <c r="C19" i="12"/>
  <c r="M18" i="12"/>
  <c r="N18" i="12" s="1"/>
  <c r="L18" i="12"/>
  <c r="K18" i="12"/>
  <c r="H18" i="12"/>
  <c r="E18" i="12"/>
  <c r="M17" i="12"/>
  <c r="L17" i="12"/>
  <c r="K17" i="12"/>
  <c r="H17" i="12"/>
  <c r="E17" i="12"/>
  <c r="M16" i="12"/>
  <c r="N16" i="12" s="1"/>
  <c r="L16" i="12"/>
  <c r="K16" i="12"/>
  <c r="H16" i="12"/>
  <c r="E16" i="12"/>
  <c r="M15" i="12"/>
  <c r="N15" i="12" s="1"/>
  <c r="L15" i="12"/>
  <c r="K15" i="12"/>
  <c r="H15" i="12"/>
  <c r="E15" i="12"/>
  <c r="L14" i="12"/>
  <c r="J14" i="12"/>
  <c r="G14" i="12"/>
  <c r="H14" i="12" s="1"/>
  <c r="E14" i="12"/>
  <c r="L13" i="12"/>
  <c r="J13" i="12"/>
  <c r="G13" i="12"/>
  <c r="H13" i="12" s="1"/>
  <c r="E13" i="12"/>
  <c r="M12" i="12"/>
  <c r="L12" i="12"/>
  <c r="K12" i="12"/>
  <c r="H12" i="12"/>
  <c r="E12" i="12"/>
  <c r="M11" i="12"/>
  <c r="L11" i="12"/>
  <c r="K11" i="12"/>
  <c r="H11" i="12"/>
  <c r="E11" i="12"/>
  <c r="N10" i="12"/>
  <c r="M10" i="12"/>
  <c r="L10" i="12"/>
  <c r="K10" i="12"/>
  <c r="H10" i="12"/>
  <c r="E10" i="12"/>
  <c r="M9" i="12"/>
  <c r="L9" i="12"/>
  <c r="K9" i="12"/>
  <c r="H9" i="12"/>
  <c r="E9" i="12"/>
  <c r="M8" i="12"/>
  <c r="L8" i="12"/>
  <c r="K8" i="12"/>
  <c r="H8" i="12"/>
  <c r="E8" i="12"/>
  <c r="M7" i="12"/>
  <c r="L7" i="12"/>
  <c r="K7" i="12"/>
  <c r="H7" i="12"/>
  <c r="E7" i="12"/>
  <c r="L19" i="12" l="1"/>
  <c r="P7" i="12"/>
  <c r="N7" i="12"/>
  <c r="Q7" i="12"/>
  <c r="R7" i="12" s="1"/>
  <c r="N12" i="12"/>
  <c r="M14" i="12"/>
  <c r="N14" i="12" s="1"/>
  <c r="E19" i="12"/>
  <c r="L37" i="12"/>
  <c r="N9" i="12"/>
  <c r="N17" i="12"/>
  <c r="N27" i="12"/>
  <c r="N30" i="12"/>
  <c r="E37" i="12"/>
  <c r="N8" i="12"/>
  <c r="N11" i="12"/>
  <c r="P8" i="12"/>
  <c r="N26" i="12"/>
  <c r="N29" i="12"/>
  <c r="M31" i="12"/>
  <c r="N31" i="12" s="1"/>
  <c r="G19" i="12"/>
  <c r="H19" i="12" s="1"/>
  <c r="J19" i="12"/>
  <c r="K19" i="12" s="1"/>
  <c r="G37" i="12"/>
  <c r="H37" i="12" s="1"/>
  <c r="M37" i="12"/>
  <c r="N37" i="12" s="1"/>
  <c r="K13" i="12"/>
  <c r="K31" i="12"/>
  <c r="K14" i="12"/>
  <c r="M13" i="12"/>
  <c r="J37" i="12"/>
  <c r="K37" i="12" s="1"/>
  <c r="N25" i="12"/>
  <c r="P9" i="12" l="1"/>
  <c r="N13" i="12"/>
  <c r="Q8" i="12"/>
  <c r="R8" i="12" s="1"/>
  <c r="M19" i="12"/>
  <c r="Q9" i="12" s="1"/>
  <c r="N19" i="12" l="1"/>
  <c r="H28" i="11"/>
  <c r="I22" i="11" s="1"/>
  <c r="H27" i="11"/>
  <c r="H23" i="11"/>
  <c r="B26" i="10"/>
  <c r="M15" i="10"/>
  <c r="L15" i="10"/>
  <c r="K15" i="10"/>
  <c r="J15" i="10"/>
  <c r="I15" i="10"/>
  <c r="G15" i="10"/>
  <c r="S15" i="10" s="1"/>
  <c r="F15" i="10"/>
  <c r="R15" i="10" s="1"/>
  <c r="E15" i="10"/>
  <c r="Q15" i="10" s="1"/>
  <c r="D15" i="10"/>
  <c r="P15" i="10" s="1"/>
  <c r="C15" i="10"/>
  <c r="O15" i="10" s="1"/>
  <c r="M14" i="10"/>
  <c r="L14" i="10"/>
  <c r="K14" i="10"/>
  <c r="J14" i="10"/>
  <c r="I14" i="10"/>
  <c r="G14" i="10"/>
  <c r="S14" i="10" s="1"/>
  <c r="F14" i="10"/>
  <c r="R14" i="10" s="1"/>
  <c r="E14" i="10"/>
  <c r="Q14" i="10" s="1"/>
  <c r="D14" i="10"/>
  <c r="C14" i="10"/>
  <c r="M13" i="10"/>
  <c r="L13" i="10"/>
  <c r="K13" i="10"/>
  <c r="J13" i="10"/>
  <c r="I13" i="10"/>
  <c r="G13" i="10"/>
  <c r="F13" i="10"/>
  <c r="E13" i="10"/>
  <c r="Q13" i="10" s="1"/>
  <c r="D13" i="10"/>
  <c r="P13" i="10" s="1"/>
  <c r="C13" i="10"/>
  <c r="M12" i="10"/>
  <c r="L12" i="10"/>
  <c r="K12" i="10"/>
  <c r="J12" i="10"/>
  <c r="I12" i="10"/>
  <c r="G12" i="10"/>
  <c r="F12" i="10"/>
  <c r="R12" i="10" s="1"/>
  <c r="E12" i="10"/>
  <c r="Q12" i="10" s="1"/>
  <c r="D12" i="10"/>
  <c r="C12" i="10"/>
  <c r="M11" i="10"/>
  <c r="L11" i="10"/>
  <c r="K11" i="10"/>
  <c r="J11" i="10"/>
  <c r="I11" i="10"/>
  <c r="G11" i="10"/>
  <c r="S11" i="10" s="1"/>
  <c r="F11" i="10"/>
  <c r="R11" i="10" s="1"/>
  <c r="E11" i="10"/>
  <c r="D11" i="10"/>
  <c r="C11" i="10"/>
  <c r="M10" i="10"/>
  <c r="L10" i="10"/>
  <c r="K10" i="10"/>
  <c r="J10" i="10"/>
  <c r="I10" i="10"/>
  <c r="G10" i="10"/>
  <c r="F10" i="10"/>
  <c r="R10" i="10" s="1"/>
  <c r="E10" i="10"/>
  <c r="Q10" i="10" s="1"/>
  <c r="D10" i="10"/>
  <c r="C10" i="10"/>
  <c r="O10" i="10" s="1"/>
  <c r="M9" i="10"/>
  <c r="L9" i="10"/>
  <c r="K9" i="10"/>
  <c r="J9" i="10"/>
  <c r="I9" i="10"/>
  <c r="G9" i="10"/>
  <c r="S9" i="10" s="1"/>
  <c r="F9" i="10"/>
  <c r="E9" i="10"/>
  <c r="Q9" i="10" s="1"/>
  <c r="D9" i="10"/>
  <c r="C9" i="10"/>
  <c r="M8" i="10"/>
  <c r="L8" i="10"/>
  <c r="K8" i="10"/>
  <c r="J8" i="10"/>
  <c r="I8" i="10"/>
  <c r="G8" i="10"/>
  <c r="S8" i="10" s="1"/>
  <c r="F8" i="10"/>
  <c r="E8" i="10"/>
  <c r="D8" i="10"/>
  <c r="P8" i="10" s="1"/>
  <c r="C8" i="10"/>
  <c r="M7" i="10"/>
  <c r="L7" i="10"/>
  <c r="K7" i="10"/>
  <c r="J7" i="10"/>
  <c r="I7" i="10"/>
  <c r="G7" i="10"/>
  <c r="S7" i="10" s="1"/>
  <c r="F7" i="10"/>
  <c r="R7" i="10" s="1"/>
  <c r="E7" i="10"/>
  <c r="D7" i="10"/>
  <c r="C7" i="10"/>
  <c r="O7" i="10" s="1"/>
  <c r="M6" i="10"/>
  <c r="L6" i="10"/>
  <c r="K6" i="10"/>
  <c r="J6" i="10"/>
  <c r="I6" i="10"/>
  <c r="G6" i="10"/>
  <c r="F6" i="10"/>
  <c r="R6" i="10" s="1"/>
  <c r="E6" i="10"/>
  <c r="Q6" i="10" s="1"/>
  <c r="D6" i="10"/>
  <c r="C6" i="10"/>
  <c r="O6" i="10" s="1"/>
  <c r="M5" i="10"/>
  <c r="L5" i="10"/>
  <c r="K5" i="10"/>
  <c r="J5" i="10"/>
  <c r="I5" i="10"/>
  <c r="G5" i="10"/>
  <c r="S5" i="10" s="1"/>
  <c r="F5" i="10"/>
  <c r="E5" i="10"/>
  <c r="Q5" i="10" s="1"/>
  <c r="D5" i="10"/>
  <c r="C5" i="10"/>
  <c r="G4" i="10"/>
  <c r="F4" i="10"/>
  <c r="R4" i="10" s="1"/>
  <c r="E4" i="10"/>
  <c r="D4" i="10"/>
  <c r="C4" i="10"/>
  <c r="O4" i="10" s="1"/>
  <c r="E52" i="9"/>
  <c r="E21" i="9" s="1"/>
  <c r="B29" i="9"/>
  <c r="B32" i="9" s="1"/>
  <c r="G21" i="9"/>
  <c r="F21" i="9"/>
  <c r="D21" i="9"/>
  <c r="C21" i="9"/>
  <c r="F20" i="9"/>
  <c r="B19" i="9"/>
  <c r="G16" i="9"/>
  <c r="G20" i="9" s="1"/>
  <c r="F16" i="9"/>
  <c r="D16" i="9"/>
  <c r="D20" i="9" s="1"/>
  <c r="C16" i="9"/>
  <c r="C20" i="9" s="1"/>
  <c r="M15" i="9"/>
  <c r="S15" i="9" s="1"/>
  <c r="K15" i="9"/>
  <c r="I15" i="9"/>
  <c r="O15" i="9" s="1"/>
  <c r="E15" i="9"/>
  <c r="Q15" i="9" s="1"/>
  <c r="B15" i="9"/>
  <c r="M14" i="9"/>
  <c r="S14" i="9" s="1"/>
  <c r="K14" i="9"/>
  <c r="I14" i="9"/>
  <c r="O14" i="9" s="1"/>
  <c r="E14" i="9"/>
  <c r="B14" i="9" s="1"/>
  <c r="M13" i="9"/>
  <c r="S13" i="9" s="1"/>
  <c r="K13" i="9"/>
  <c r="I13" i="9"/>
  <c r="O13" i="9" s="1"/>
  <c r="E13" i="9"/>
  <c r="B13" i="9" s="1"/>
  <c r="M12" i="9"/>
  <c r="S12" i="9" s="1"/>
  <c r="K12" i="9"/>
  <c r="I12" i="9"/>
  <c r="O12" i="9" s="1"/>
  <c r="E12" i="9"/>
  <c r="B12" i="9" s="1"/>
  <c r="S11" i="9"/>
  <c r="M11" i="9"/>
  <c r="K11" i="9"/>
  <c r="I11" i="9"/>
  <c r="O11" i="9" s="1"/>
  <c r="E11" i="9"/>
  <c r="B11" i="9" s="1"/>
  <c r="S10" i="9"/>
  <c r="O10" i="9"/>
  <c r="L10" i="9"/>
  <c r="L12" i="9" s="1"/>
  <c r="R12" i="9" s="1"/>
  <c r="J10" i="9"/>
  <c r="J15" i="9" s="1"/>
  <c r="P15" i="9" s="1"/>
  <c r="E10" i="9"/>
  <c r="B10" i="9" s="1"/>
  <c r="M9" i="9"/>
  <c r="S9" i="9" s="1"/>
  <c r="L9" i="9"/>
  <c r="R9" i="9" s="1"/>
  <c r="K9" i="9"/>
  <c r="J9" i="9"/>
  <c r="P9" i="9" s="1"/>
  <c r="I9" i="9"/>
  <c r="O9" i="9" s="1"/>
  <c r="Q9" i="9"/>
  <c r="M8" i="9"/>
  <c r="S8" i="9" s="1"/>
  <c r="L8" i="9"/>
  <c r="R8" i="9" s="1"/>
  <c r="K8" i="9"/>
  <c r="J8" i="9"/>
  <c r="P8" i="9" s="1"/>
  <c r="I8" i="9"/>
  <c r="O8" i="9" s="1"/>
  <c r="Q8" i="9"/>
  <c r="B8" i="9"/>
  <c r="R7" i="9"/>
  <c r="M7" i="9"/>
  <c r="S7" i="9" s="1"/>
  <c r="L7" i="9"/>
  <c r="K7" i="9"/>
  <c r="Q7" i="9" s="1"/>
  <c r="J7" i="9"/>
  <c r="P7" i="9" s="1"/>
  <c r="I7" i="9"/>
  <c r="O7" i="9" s="1"/>
  <c r="B7" i="9"/>
  <c r="P6" i="9"/>
  <c r="M6" i="9"/>
  <c r="S6" i="9" s="1"/>
  <c r="L6" i="9"/>
  <c r="R6" i="9" s="1"/>
  <c r="K6" i="9"/>
  <c r="J6" i="9"/>
  <c r="I6" i="9"/>
  <c r="O6" i="9" s="1"/>
  <c r="Q6" i="9"/>
  <c r="B6" i="9"/>
  <c r="M5" i="9"/>
  <c r="S5" i="9" s="1"/>
  <c r="L5" i="9"/>
  <c r="R5" i="9" s="1"/>
  <c r="K5" i="9"/>
  <c r="J5" i="9"/>
  <c r="P5" i="9" s="1"/>
  <c r="I5" i="9"/>
  <c r="O5" i="9" s="1"/>
  <c r="Q5" i="9"/>
  <c r="B5" i="9"/>
  <c r="S4" i="9"/>
  <c r="R4" i="9"/>
  <c r="P4" i="9"/>
  <c r="O4" i="9"/>
  <c r="Q4" i="9"/>
  <c r="B4" i="9"/>
  <c r="L36" i="9" l="1"/>
  <c r="G16" i="10"/>
  <c r="G21" i="10" s="1"/>
  <c r="L11" i="9"/>
  <c r="R11" i="9" s="1"/>
  <c r="P5" i="10"/>
  <c r="P9" i="10"/>
  <c r="Q10" i="9"/>
  <c r="L14" i="9"/>
  <c r="R14" i="9" s="1"/>
  <c r="L15" i="9"/>
  <c r="R15" i="9" s="1"/>
  <c r="B21" i="9"/>
  <c r="B33" i="9" s="1"/>
  <c r="S12" i="10"/>
  <c r="R10" i="9"/>
  <c r="R5" i="10"/>
  <c r="P6" i="10"/>
  <c r="N6" i="10" s="1"/>
  <c r="R9" i="10"/>
  <c r="P10" i="10"/>
  <c r="R13" i="10"/>
  <c r="B14" i="10"/>
  <c r="Q14" i="9"/>
  <c r="O11" i="10"/>
  <c r="S13" i="10"/>
  <c r="O14" i="10"/>
  <c r="N14" i="10" s="1"/>
  <c r="H14" i="10" s="1"/>
  <c r="Q12" i="9"/>
  <c r="E16" i="10"/>
  <c r="E21" i="10" s="1"/>
  <c r="O5" i="10"/>
  <c r="N5" i="10" s="1"/>
  <c r="P7" i="10"/>
  <c r="Q8" i="10"/>
  <c r="P11" i="10"/>
  <c r="P14" i="10"/>
  <c r="Q11" i="9"/>
  <c r="S6" i="10"/>
  <c r="Q7" i="10"/>
  <c r="N7" i="10" s="1"/>
  <c r="B8" i="10"/>
  <c r="S10" i="10"/>
  <c r="Q11" i="10"/>
  <c r="B12" i="10"/>
  <c r="B6" i="10"/>
  <c r="B10" i="10"/>
  <c r="Q4" i="10"/>
  <c r="S4" i="10"/>
  <c r="F16" i="10"/>
  <c r="F21" i="10" s="1"/>
  <c r="B9" i="10"/>
  <c r="C16" i="10"/>
  <c r="C21" i="10" s="1"/>
  <c r="B5" i="10"/>
  <c r="B13" i="10"/>
  <c r="D16" i="10"/>
  <c r="D21" i="10" s="1"/>
  <c r="O9" i="10"/>
  <c r="P12" i="10"/>
  <c r="O13" i="10"/>
  <c r="I21" i="11"/>
  <c r="I23" i="11" s="1"/>
  <c r="J23" i="11" s="1"/>
  <c r="N7" i="9"/>
  <c r="H7" i="9" s="1"/>
  <c r="N5" i="9"/>
  <c r="H5" i="9" s="1"/>
  <c r="N11" i="10"/>
  <c r="N15" i="10"/>
  <c r="B4" i="10"/>
  <c r="O8" i="10"/>
  <c r="O12" i="10"/>
  <c r="P4" i="10"/>
  <c r="B7" i="10"/>
  <c r="B11" i="10"/>
  <c r="B15" i="10"/>
  <c r="B29" i="10"/>
  <c r="R8" i="10"/>
  <c r="N9" i="9"/>
  <c r="O16" i="9"/>
  <c r="I16" i="9" s="1"/>
  <c r="N8" i="9"/>
  <c r="H8" i="9" s="1"/>
  <c r="S16" i="9"/>
  <c r="M16" i="9" s="1"/>
  <c r="N15" i="9"/>
  <c r="H15" i="9" s="1"/>
  <c r="N6" i="9"/>
  <c r="H6" i="9" s="1"/>
  <c r="J14" i="9"/>
  <c r="P14" i="9" s="1"/>
  <c r="N14" i="9" s="1"/>
  <c r="H14" i="9" s="1"/>
  <c r="B9" i="9"/>
  <c r="L35" i="9" s="1"/>
  <c r="F35" i="11" s="1"/>
  <c r="F36" i="11" s="1"/>
  <c r="Q13" i="9"/>
  <c r="Q16" i="9" s="1"/>
  <c r="J13" i="9"/>
  <c r="P13" i="9" s="1"/>
  <c r="N4" i="9"/>
  <c r="E16" i="9"/>
  <c r="E20" i="9" s="1"/>
  <c r="J12" i="9"/>
  <c r="P12" i="9" s="1"/>
  <c r="N12" i="9" s="1"/>
  <c r="H12" i="9" s="1"/>
  <c r="L13" i="9"/>
  <c r="R13" i="9" s="1"/>
  <c r="R16" i="9" s="1"/>
  <c r="L16" i="9" s="1"/>
  <c r="P10" i="9"/>
  <c r="N10" i="9" s="1"/>
  <c r="J11" i="9"/>
  <c r="P11" i="9" s="1"/>
  <c r="P16" i="9" s="1"/>
  <c r="J16" i="9" s="1"/>
  <c r="N10" i="10" l="1"/>
  <c r="H6" i="10"/>
  <c r="Q16" i="10"/>
  <c r="K16" i="10" s="1"/>
  <c r="S16" i="10"/>
  <c r="M16" i="10" s="1"/>
  <c r="N12" i="10"/>
  <c r="H12" i="10" s="1"/>
  <c r="R16" i="10"/>
  <c r="L16" i="10" s="1"/>
  <c r="N8" i="10"/>
  <c r="H8" i="10" s="1"/>
  <c r="N9" i="10"/>
  <c r="H9" i="10" s="1"/>
  <c r="H11" i="10"/>
  <c r="N13" i="9"/>
  <c r="H13" i="9" s="1"/>
  <c r="N11" i="9"/>
  <c r="H11" i="9" s="1"/>
  <c r="N13" i="10"/>
  <c r="H13" i="10" s="1"/>
  <c r="G35" i="11"/>
  <c r="G36" i="11" s="1"/>
  <c r="D4" i="11"/>
  <c r="H7" i="10"/>
  <c r="B36" i="10"/>
  <c r="H5" i="10"/>
  <c r="B37" i="10"/>
  <c r="B19" i="10"/>
  <c r="N35" i="9"/>
  <c r="M35" i="9" s="1"/>
  <c r="L37" i="9"/>
  <c r="C4" i="11"/>
  <c r="B16" i="9"/>
  <c r="B20" i="9" s="1"/>
  <c r="K16" i="9"/>
  <c r="E4" i="11"/>
  <c r="B18" i="10"/>
  <c r="B16" i="10"/>
  <c r="O16" i="10"/>
  <c r="I16" i="10" s="1"/>
  <c r="N4" i="10"/>
  <c r="P16" i="10"/>
  <c r="J16" i="10" s="1"/>
  <c r="H10" i="10"/>
  <c r="H15" i="10"/>
  <c r="H10" i="9"/>
  <c r="H4" i="9"/>
  <c r="N16" i="9"/>
  <c r="N23" i="9"/>
  <c r="N24" i="9" s="1"/>
  <c r="N25" i="9" s="1"/>
  <c r="N26" i="9" s="1"/>
  <c r="N27" i="9" s="1"/>
  <c r="N20" i="9"/>
  <c r="H9" i="9"/>
  <c r="D37" i="10" l="1"/>
  <c r="D36" i="10"/>
  <c r="N19" i="10"/>
  <c r="H19" i="10" s="1"/>
  <c r="N21" i="9"/>
  <c r="N36" i="9"/>
  <c r="M36" i="9" s="1"/>
  <c r="C36" i="10"/>
  <c r="C5" i="11"/>
  <c r="D38" i="10"/>
  <c r="D5" i="11"/>
  <c r="D6" i="11" s="1"/>
  <c r="C37" i="10"/>
  <c r="B38" i="10"/>
  <c r="M40" i="10"/>
  <c r="B21" i="10"/>
  <c r="H4" i="10"/>
  <c r="N18" i="10"/>
  <c r="H18" i="10" s="1"/>
  <c r="N16" i="10"/>
  <c r="N25" i="10"/>
  <c r="B30" i="10"/>
  <c r="H16" i="9"/>
  <c r="C29" i="9"/>
  <c r="C30" i="9"/>
  <c r="C31" i="9"/>
  <c r="N37" i="9" l="1"/>
  <c r="M37" i="9" s="1"/>
  <c r="C38" i="10"/>
  <c r="G37" i="11"/>
  <c r="C6" i="11"/>
  <c r="E5" i="11"/>
  <c r="F37" i="11"/>
  <c r="N33" i="10"/>
  <c r="O33" i="10" s="1"/>
  <c r="N26" i="10"/>
  <c r="N40" i="10"/>
  <c r="N36" i="10"/>
  <c r="H16" i="10"/>
  <c r="C27" i="10"/>
  <c r="C28" i="10"/>
  <c r="C26" i="10"/>
  <c r="C32" i="9"/>
  <c r="C33" i="9" s="1"/>
  <c r="E6" i="11" l="1"/>
  <c r="N27" i="10"/>
  <c r="N34" i="10"/>
  <c r="O34" i="10" s="1"/>
  <c r="C29" i="10"/>
  <c r="C30" i="10" s="1"/>
  <c r="N35" i="10" l="1"/>
  <c r="O35" i="10" s="1"/>
  <c r="N28" i="10"/>
  <c r="N29" i="10" s="1"/>
  <c r="I24" i="8" l="1"/>
  <c r="C25" i="8"/>
  <c r="H13" i="8"/>
  <c r="B13" i="8"/>
  <c r="I13" i="8"/>
  <c r="C13" i="8"/>
  <c r="J11" i="8"/>
  <c r="I7" i="8"/>
  <c r="H26" i="8"/>
  <c r="J5" i="8"/>
  <c r="I25" i="8" l="1"/>
  <c r="I26" i="8" s="1"/>
  <c r="J12" i="8"/>
  <c r="J13" i="8" s="1"/>
  <c r="J24" i="8"/>
  <c r="H7" i="8"/>
  <c r="J6" i="8"/>
  <c r="J7" i="8" s="1"/>
  <c r="J25" i="8"/>
  <c r="J26" i="8" l="1"/>
  <c r="E8" i="11" l="1"/>
  <c r="E10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Брейкина Елена Сергеевна</author>
    <author>Пк</author>
  </authors>
  <commentList>
    <comment ref="H1" authorId="0" shapeId="0" xr:uid="{00000000-0006-0000-0400-000001000000}">
      <text>
        <r>
          <rPr>
            <b/>
            <sz val="9"/>
            <color indexed="81"/>
            <rFont val="Tahoma"/>
            <family val="2"/>
            <charset val="204"/>
          </rPr>
          <t>Брейкина Елена Сергеевна:</t>
        </r>
        <r>
          <rPr>
            <sz val="9"/>
            <color indexed="81"/>
            <rFont val="Tahoma"/>
            <family val="2"/>
            <charset val="204"/>
          </rPr>
          <t xml:space="preserve">
ПП КГРЦиТ от 20.12.2023г. № 26-э/4</t>
        </r>
      </text>
    </comment>
    <comment ref="E20" authorId="1" shapeId="0" xr:uid="{00000000-0006-0000-0400-000002000000}">
      <text>
        <r>
          <rPr>
            <b/>
            <sz val="9"/>
            <color indexed="81"/>
            <rFont val="Tahoma"/>
            <family val="2"/>
            <charset val="204"/>
          </rPr>
          <t>Пк:</t>
        </r>
        <r>
          <rPr>
            <sz val="9"/>
            <color indexed="81"/>
            <rFont val="Tahoma"/>
            <family val="2"/>
            <charset val="204"/>
          </rPr>
          <t xml:space="preserve">
ЧГГК убрала, т.к. у них нет передачи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Брейкина Елена Сергеевна</author>
  </authors>
  <commentList>
    <comment ref="H1" authorId="0" shapeId="0" xr:uid="{00000000-0006-0000-0500-000001000000}">
      <text>
        <r>
          <rPr>
            <b/>
            <sz val="9"/>
            <color indexed="81"/>
            <rFont val="Tahoma"/>
            <family val="2"/>
            <charset val="204"/>
          </rPr>
          <t>Брейкина Елена Сергеевна:</t>
        </r>
        <r>
          <rPr>
            <sz val="9"/>
            <color indexed="81"/>
            <rFont val="Tahoma"/>
            <family val="2"/>
            <charset val="204"/>
          </rPr>
          <t xml:space="preserve">
ПП КГРЦиТ от 20.12.2023г. № 26-э/5
</t>
        </r>
      </text>
    </comment>
  </commentList>
</comments>
</file>

<file path=xl/sharedStrings.xml><?xml version="1.0" encoding="utf-8"?>
<sst xmlns="http://schemas.openxmlformats.org/spreadsheetml/2006/main" count="1018" uniqueCount="381">
  <si>
    <t>Приложение № 1</t>
  </si>
  <si>
    <t>к стандартам раскрытия информации субъектами</t>
  </si>
  <si>
    <t>оптового и розничных рынков электрической энергии,</t>
  </si>
  <si>
    <t>от 21 января 2004 г. № 24</t>
  </si>
  <si>
    <t>утв. постановлением Правительства Российской Федерации</t>
  </si>
  <si>
    <t>ПРЕДЛОЖЕНИЕ</t>
  </si>
  <si>
    <t>о размере цен (тарифов), долгосрочных параметров регулирования</t>
  </si>
  <si>
    <t>(расчетный период регулирования)</t>
  </si>
  <si>
    <t>(полное и сокращенное наименование юридического лица)</t>
  </si>
  <si>
    <t>I. Информация об организации</t>
  </si>
  <si>
    <t>Полное наименование</t>
  </si>
  <si>
    <t>Сокращенное наименование</t>
  </si>
  <si>
    <t>Место нахождения</t>
  </si>
  <si>
    <t>Фактический адрес</t>
  </si>
  <si>
    <t>ИНН</t>
  </si>
  <si>
    <t>КПП</t>
  </si>
  <si>
    <t>Ф. И. О. руководителя</t>
  </si>
  <si>
    <t>Адрес электронной почты</t>
  </si>
  <si>
    <t>Контактный телефон</t>
  </si>
  <si>
    <t>Факс</t>
  </si>
  <si>
    <t>II. Основные показатели деятельности организации</t>
  </si>
  <si>
    <t>1.</t>
  </si>
  <si>
    <t>1.1.</t>
  </si>
  <si>
    <t>Выручка</t>
  </si>
  <si>
    <t>тыс. рублей</t>
  </si>
  <si>
    <t>1.2.</t>
  </si>
  <si>
    <t>1.3.</t>
  </si>
  <si>
    <t>1.4.</t>
  </si>
  <si>
    <t>Чистая прибыль (убыток)</t>
  </si>
  <si>
    <t>2.</t>
  </si>
  <si>
    <t>2.1.</t>
  </si>
  <si>
    <t>процентов</t>
  </si>
  <si>
    <t>3.</t>
  </si>
  <si>
    <t>3.1.</t>
  </si>
  <si>
    <t>МВт</t>
  </si>
  <si>
    <t>3.2.</t>
  </si>
  <si>
    <t>МВт·ч</t>
  </si>
  <si>
    <t>3.3.</t>
  </si>
  <si>
    <t>3.4.</t>
  </si>
  <si>
    <t>3.5.</t>
  </si>
  <si>
    <t>тыс. кВт·ч</t>
  </si>
  <si>
    <t>3.6.</t>
  </si>
  <si>
    <t>3.7.</t>
  </si>
  <si>
    <t>3.8.</t>
  </si>
  <si>
    <t>4.</t>
  </si>
  <si>
    <t>4.1.</t>
  </si>
  <si>
    <t>оплата труда</t>
  </si>
  <si>
    <t>ремонт основных фондов</t>
  </si>
  <si>
    <t>материальные затраты</t>
  </si>
  <si>
    <t>4.2.</t>
  </si>
  <si>
    <t>4.3.</t>
  </si>
  <si>
    <t>4.4.</t>
  </si>
  <si>
    <t>4.4.1.</t>
  </si>
  <si>
    <t>4.5.</t>
  </si>
  <si>
    <t>4.6.</t>
  </si>
  <si>
    <t>5.</t>
  </si>
  <si>
    <t>5.1.</t>
  </si>
  <si>
    <t>5.2.</t>
  </si>
  <si>
    <t>5.3.</t>
  </si>
  <si>
    <t>6.</t>
  </si>
  <si>
    <t>7.</t>
  </si>
  <si>
    <t>человек</t>
  </si>
  <si>
    <t>2. Основные показатели деятельности гарантирующих поставщиков</t>
  </si>
  <si>
    <t>первое полугодие</t>
  </si>
  <si>
    <t>второе полугодие</t>
  </si>
  <si>
    <t>1.1.А.</t>
  </si>
  <si>
    <t>сверх социальной нормы</t>
  </si>
  <si>
    <t>1.1.Б.</t>
  </si>
  <si>
    <t>1.1.1.</t>
  </si>
  <si>
    <t>1.1.1.А.</t>
  </si>
  <si>
    <t>1.1.1.Б.</t>
  </si>
  <si>
    <t>1.1.2.</t>
  </si>
  <si>
    <t>1.1.2.А.</t>
  </si>
  <si>
    <t>1.1.2.Б.</t>
  </si>
  <si>
    <t>1.1.3.</t>
  </si>
  <si>
    <t>1.1.3.А.</t>
  </si>
  <si>
    <t>1.1.3.Б.</t>
  </si>
  <si>
    <t>1.1.4.</t>
  </si>
  <si>
    <t>1.1.4.А.</t>
  </si>
  <si>
    <t>1.1.4.Б.</t>
  </si>
  <si>
    <t>1.1.5.</t>
  </si>
  <si>
    <t>1.1.5.А.</t>
  </si>
  <si>
    <t>1.1.5.Б.</t>
  </si>
  <si>
    <t>1.1.6.</t>
  </si>
  <si>
    <t>1.1.6.А.</t>
  </si>
  <si>
    <t>1.1.6.Б.</t>
  </si>
  <si>
    <t>менее 670 кВт</t>
  </si>
  <si>
    <t>от 670 кВт до 10 МВт</t>
  </si>
  <si>
    <t>не менее 10 МВт</t>
  </si>
  <si>
    <t>тыс. штук</t>
  </si>
  <si>
    <t>2.2.</t>
  </si>
  <si>
    <t>2.3.</t>
  </si>
  <si>
    <t>штук</t>
  </si>
  <si>
    <t>6.1.</t>
  </si>
  <si>
    <t>6.2.</t>
  </si>
  <si>
    <t>6.3.</t>
  </si>
  <si>
    <t>8.</t>
  </si>
  <si>
    <t>9.</t>
  </si>
  <si>
    <t>10.</t>
  </si>
  <si>
    <t>11.</t>
  </si>
  <si>
    <t>12.</t>
  </si>
  <si>
    <t>процент</t>
  </si>
  <si>
    <t>3. Основные показатели деятельности генерирующих объектов</t>
  </si>
  <si>
    <t>Установленная мощность</t>
  </si>
  <si>
    <t>тыс. Гкал</t>
  </si>
  <si>
    <t>7.1.</t>
  </si>
  <si>
    <t>7.2.</t>
  </si>
  <si>
    <t>7.3.</t>
  </si>
  <si>
    <t>8.1.</t>
  </si>
  <si>
    <t>г/кВт·ч</t>
  </si>
  <si>
    <t>кг/Гкал</t>
  </si>
  <si>
    <t>8.2.</t>
  </si>
  <si>
    <t>Амортизация</t>
  </si>
  <si>
    <t>10.1.</t>
  </si>
  <si>
    <t>10.2.</t>
  </si>
  <si>
    <t>10.3.</t>
  </si>
  <si>
    <t>11.1.</t>
  </si>
  <si>
    <t>11.2.</t>
  </si>
  <si>
    <t>11.3.</t>
  </si>
  <si>
    <t>12.1.</t>
  </si>
  <si>
    <t>12.2.</t>
  </si>
  <si>
    <t>13.</t>
  </si>
  <si>
    <t>13.1.</t>
  </si>
  <si>
    <t>13.2.</t>
  </si>
  <si>
    <t>13.3.</t>
  </si>
  <si>
    <t>14.</t>
  </si>
  <si>
    <t>14.1.</t>
  </si>
  <si>
    <t>14.2.</t>
  </si>
  <si>
    <t>14.3.</t>
  </si>
  <si>
    <t>15.</t>
  </si>
  <si>
    <t>16.</t>
  </si>
  <si>
    <t>17.</t>
  </si>
  <si>
    <t>III. Цены (тарифы) по регулируемым видам деятельности организации</t>
  </si>
  <si>
    <t>рублей/
МВт в месяц</t>
  </si>
  <si>
    <t>рублей/
МВт·ч</t>
  </si>
  <si>
    <t>двухставочный тариф:</t>
  </si>
  <si>
    <t>ставка на содержание сетей</t>
  </si>
  <si>
    <t>одноставочный тариф</t>
  </si>
  <si>
    <t>Для генерирующих объектов:</t>
  </si>
  <si>
    <t>рублей/
тыс. кВт·ч</t>
  </si>
  <si>
    <t>тариф на тепловую энергию</t>
  </si>
  <si>
    <t>4.3.1.</t>
  </si>
  <si>
    <t>4.3.2.</t>
  </si>
  <si>
    <r>
      <t>1,2—2,5 кг/см</t>
    </r>
    <r>
      <rPr>
        <vertAlign val="superscript"/>
        <sz val="10"/>
        <rFont val="Times New Roman"/>
        <family val="1"/>
        <charset val="204"/>
      </rPr>
      <t>2</t>
    </r>
  </si>
  <si>
    <t>рублей/Гкал</t>
  </si>
  <si>
    <r>
      <t>2,5—7,0 кг/см</t>
    </r>
    <r>
      <rPr>
        <vertAlign val="superscript"/>
        <sz val="10"/>
        <rFont val="Times New Roman"/>
        <family val="1"/>
        <charset val="204"/>
      </rPr>
      <t>2</t>
    </r>
  </si>
  <si>
    <r>
      <t>7,0—13,0 кг/см</t>
    </r>
    <r>
      <rPr>
        <vertAlign val="superscript"/>
        <sz val="10"/>
        <rFont val="Times New Roman"/>
        <family val="1"/>
        <charset val="204"/>
      </rPr>
      <t>2</t>
    </r>
  </si>
  <si>
    <r>
      <t>&gt;13 кг/см</t>
    </r>
    <r>
      <rPr>
        <vertAlign val="superscript"/>
        <sz val="10"/>
        <rFont val="Times New Roman"/>
        <family val="1"/>
        <charset val="204"/>
      </rPr>
      <t>2</t>
    </r>
  </si>
  <si>
    <t>4.3.3.</t>
  </si>
  <si>
    <t>4.4.2.</t>
  </si>
  <si>
    <t>рублей/
Гкал/ч
в месяц</t>
  </si>
  <si>
    <t>рублей/
куб. метр</t>
  </si>
  <si>
    <t>вода</t>
  </si>
  <si>
    <t>пар</t>
  </si>
  <si>
    <t>(вид цены (тарифа)) на</t>
  </si>
  <si>
    <t>1. Основные показатели деятельности организаций, относящихся к субъектам естественных монополий, а также коммерческого оператора оптового рынка электрической энергии (мощности)</t>
  </si>
  <si>
    <t>Показатели эффективности деятельности организации</t>
  </si>
  <si>
    <t>Прибыль (убыток) от продаж</t>
  </si>
  <si>
    <t>EBITDA (прибыль до процентов, налогов и амортизации)</t>
  </si>
  <si>
    <t>Показатели рентабельности организации</t>
  </si>
  <si>
    <t>Рентабельность продаж (величина прибыли от продаж в каждом рубле выручки). Нормальное значение для отрасли электроэнергетики
от 9 процентов
и более</t>
  </si>
  <si>
    <t>Показатели регулируемых видов деятельности организации</t>
  </si>
  <si>
    <t>Расчетный объем услуг в части управления технологическими режимами **</t>
  </si>
  <si>
    <t>Расчетный объем услуг в части обеспечения надежности **</t>
  </si>
  <si>
    <t>Заявленная мощность ***</t>
  </si>
  <si>
    <t>Объем полезного отпуска электроэнергии - всего ***</t>
  </si>
  <si>
    <t>Объем полезного отпуска электроэнергии населению и приравненным к нему категориям потребителей 3</t>
  </si>
  <si>
    <t>Наименование показателей</t>
  </si>
  <si>
    <t>Уровень потерь электрической энергии ***</t>
  </si>
  <si>
    <t>Реквизиты программы энергоэффективности (кем утверждена, дата утверждения, номер приказа) ***</t>
  </si>
  <si>
    <t>Суммарный объем производства и потребления электрической энергии участниками оптового рынка электрической энергии ****</t>
  </si>
  <si>
    <t>Необходимая валовая выручка по регулируемым видам деятельности организации - всего</t>
  </si>
  <si>
    <t>Расходы, за исключением указанных в позиции 4.1 **, ****; неподконтрольные расходы *** -
всего ***</t>
  </si>
  <si>
    <t>Выпадающие, излишние доходы (расходы) прошлых лет</t>
  </si>
  <si>
    <t>Инвестиции, осуществляемые за счет тарифных источников</t>
  </si>
  <si>
    <t>Реквизиты инвестиционной программы (кем утверждена, дата утверждения, номер приказа)</t>
  </si>
  <si>
    <t>Объем условных единиц ***</t>
  </si>
  <si>
    <t>у.е.</t>
  </si>
  <si>
    <t>Операционные (подконтрольные) расходы на условную единицу ***</t>
  </si>
  <si>
    <t>тыс. рублей (у.е.)</t>
  </si>
  <si>
    <t>Показатели численности персонала и фонда оплаты труда по регулируемым видам деятельности</t>
  </si>
  <si>
    <t>Среднесписочная численность персонала</t>
  </si>
  <si>
    <t>Среднемесячная заработная плата на одного работника</t>
  </si>
  <si>
    <t>Реквизиты отраслевого тарифного соглашения (дата утверждения, срок действия)</t>
  </si>
  <si>
    <t>Уставный капитал (складочный капитал, уставный фонд, вклады товарищей)</t>
  </si>
  <si>
    <t>Анализ финансовой устойчивости по величине излишка (недостатка) собственных оборотных средств</t>
  </si>
  <si>
    <t>Единица измерения</t>
  </si>
  <si>
    <t>тыс. рублей 
на человека</t>
  </si>
  <si>
    <t>Объемы полезного отпуска электрической энергии - всего, в том числе:</t>
  </si>
  <si>
    <t>населению и приравненным к нему категориям потребителей</t>
  </si>
  <si>
    <t>в пределах социальной нормы</t>
  </si>
  <si>
    <t>в том числе</t>
  </si>
  <si>
    <t>население, проживающее в городских населенных пунктах в домах, не оборудованных в установленном порядке стационарными электроплитами и (или) электроотопительными установками</t>
  </si>
  <si>
    <t>население, проживающее в городских населенных пунктах в домах, оборудованных в установленном порядке стационарными электроплитами</t>
  </si>
  <si>
    <t>население, проживающее в городских населенных пунктах в домах, оборудованных в установленном порядке стационарными электроотопительными установками</t>
  </si>
  <si>
    <t>население, проживающее в городских населенных пунктах в домах, оборудованных в установленном порядке стационарными электроплитами и электроотопительными установками</t>
  </si>
  <si>
    <t>население, проживающее в сельских населенных пунктах</t>
  </si>
  <si>
    <t>потребители, приравненные к населению, - всего</t>
  </si>
  <si>
    <t>потребителям, за исключением электрической энергии, поставляемой населению и приравненным к нему категориям потребителей и сетевым организациям</t>
  </si>
  <si>
    <t>сетевым организациям, приобретающим электрическую энергию в целях компенсации потерь электрической энергии в сетях</t>
  </si>
  <si>
    <t>Количество обслуживаемых договоров - всего, в том числе</t>
  </si>
  <si>
    <t>с населением и приравненным к нему категориям потребителей</t>
  </si>
  <si>
    <t>с потребителями, за исключением электрической энергии, поставляемой населению и приравненным к нему категориям потребителей и сетевым организациям</t>
  </si>
  <si>
    <t>с сетевыми организациями, приобретающими электрическую энергию в целях компенсации потерь электрической энергии в сетях</t>
  </si>
  <si>
    <t>Количество точек учета по обслуживаемым договорам - всего, в том числе</t>
  </si>
  <si>
    <t>по населению и приравненным к нему категориям потребителей</t>
  </si>
  <si>
    <t>по потребителям, за исключением электрической энергии, поставляемой населению и приравненным к нему категориям потребителей и сетевым организациям</t>
  </si>
  <si>
    <t>Количество точек подключения</t>
  </si>
  <si>
    <t>Необходимая валовая выручка гарантирующего поставщика</t>
  </si>
  <si>
    <t>Проценты по обслуживанию заемных средств</t>
  </si>
  <si>
    <t>Резерв по сомнительным долгам</t>
  </si>
  <si>
    <t>Необходимые расходы из прибыли</t>
  </si>
  <si>
    <t>Рентабельность продаж (величина прибыли от продаж в каждом рубле выручки)</t>
  </si>
  <si>
    <t>Реквизиты инвестиционной программы (кем утверждена, дата утверждения, номер приказа или решения, электронный адрес размещения)</t>
  </si>
  <si>
    <t>Среднегодовое значение положительных разниц объемов располагаемой мощности и объемов потребления мощности на собственные и (или) хозяйственные нужды</t>
  </si>
  <si>
    <t>Производство электрической энергии</t>
  </si>
  <si>
    <t>млн. кВт·ч</t>
  </si>
  <si>
    <t>Полезный отпуск электрической энергии</t>
  </si>
  <si>
    <t>Отпуск тепловой энергии с коллекторов</t>
  </si>
  <si>
    <t>Отпуск тепловой энергии в сеть</t>
  </si>
  <si>
    <t>Необходимая валовая выручка - всего, в том числе</t>
  </si>
  <si>
    <t>млн. рублей</t>
  </si>
  <si>
    <t>относимая на электрическую энергию</t>
  </si>
  <si>
    <t>относимая на электрическую мощность</t>
  </si>
  <si>
    <t>относимая на тепловую энергию, отпускаемую с коллекторов источников</t>
  </si>
  <si>
    <t>Топливо - всего, в том числе:</t>
  </si>
  <si>
    <t>топливо на электрическую энергию</t>
  </si>
  <si>
    <t>удельный расход условного топлива на электрическую энергию</t>
  </si>
  <si>
    <t>топливо на тепловую энергию</t>
  </si>
  <si>
    <t>удельный расход условного топлива на тепловую энергию</t>
  </si>
  <si>
    <t>реквизиты решения по удельному расходу условного топлива на отпуск тепловой и электрической энергии</t>
  </si>
  <si>
    <t>Показатели численности персонала и фонда оплаты труда по регулируемым видам деятельности:</t>
  </si>
  <si>
    <t>среднесписочная численность персонала</t>
  </si>
  <si>
    <t>среднемесячная заработная плата на одного работника</t>
  </si>
  <si>
    <t>реквизиты отраслевого тарифного соглашения (дата утверждения, срок действия)</t>
  </si>
  <si>
    <t>Расходы на производство - всего, в том числе</t>
  </si>
  <si>
    <t>относимые на электрическую энергию</t>
  </si>
  <si>
    <t>относимые на электрическую мощность</t>
  </si>
  <si>
    <t>относимые на тепловую энергию, отпускаемую с коллекторов источников</t>
  </si>
  <si>
    <t>Объем перекрестного субсидирования - всего, в том числе:</t>
  </si>
  <si>
    <t>от производства тепловой энергии</t>
  </si>
  <si>
    <t>от производства электрической энергии</t>
  </si>
  <si>
    <t>Необходимые расходы из прибыли - всего, в том числе:</t>
  </si>
  <si>
    <t>Капитальные вложения из прибыли (с учетом налога на прибыль) - всего, в том числе:</t>
  </si>
  <si>
    <t>Рентабельность продаж (величина прибыли от продажи в каждом рубле выручки)</t>
  </si>
  <si>
    <t>* Базовый период - год, предшествующий расчетному периоду регулирования.</t>
  </si>
  <si>
    <t>** Заполняются организацией, осуществляющей оперативно-диспетчерское управление в электроэнергетике.</t>
  </si>
  <si>
    <t>*** Заполняются сетевыми организациями, осуществляющими передачу электрической энергии (мощности) по электрическим сетям.</t>
  </si>
  <si>
    <t>**** Заполняются коммерческим оператором оптового рынка электрической энергии (мощности).</t>
  </si>
  <si>
    <t>Акционерное общество "Чукотэнерго"</t>
  </si>
  <si>
    <t>АО "Чукотэнерго"</t>
  </si>
  <si>
    <t>(АО "Чукотэнерго")</t>
  </si>
  <si>
    <t>689000, Чукотский АО, г.о. Анадырь, г. Анадырь, ул. Куркутского, зд. 34</t>
  </si>
  <si>
    <t>doc@chukotenergo.ru</t>
  </si>
  <si>
    <t>+7 (427 22) 2-22-29</t>
  </si>
  <si>
    <t>год</t>
  </si>
  <si>
    <t>Петухов Константин Юрьевич</t>
  </si>
  <si>
    <t>+7 (427 22) 2-05-49</t>
  </si>
  <si>
    <t>Фактические показатели за год, предшествующий базовому периоду 
(2024 год)</t>
  </si>
  <si>
    <t>Показатели, утвержденные на базовый период *
(2025 год)</t>
  </si>
  <si>
    <t>Предложения на расчетный период регулирования
(2026 год)</t>
  </si>
  <si>
    <t>-</t>
  </si>
  <si>
    <t>Расходы, связанные с производством и реализацией товаров, работ и услуг **, ****; операционные (подконтрольные) расходы *** - всего, в том числе:</t>
  </si>
  <si>
    <t>0</t>
  </si>
  <si>
    <t>279,833</t>
  </si>
  <si>
    <t>250,871</t>
  </si>
  <si>
    <t>313,232</t>
  </si>
  <si>
    <t>Предложения на расчетный период регулирования
(2027 год)</t>
  </si>
  <si>
    <t>Предложения на расчетный период регулирования
(2028 год)</t>
  </si>
  <si>
    <t>Для организаций, относящихся к субъектам естественных монополий:</t>
  </si>
  <si>
    <t xml:space="preserve">услуги по оперативно-диспетчерскому управлению в электроэнергетике:  </t>
  </si>
  <si>
    <t>тариф на услуги по оперативно-диспетчерскому управлению в электроэнергетике в части управления технологическими режимами работы объектов электроэнергетики и энергопринимающих устройств потребителей электрической энергии, обеспечения функционирования технологической инфраструктуры оптового и розничных рынков и осуществления проектирования развития электроэнергетических систем, оказываемые
акционерным обществом "Системный оператор Единой энергетической системы"</t>
  </si>
  <si>
    <t>не устанавливаются</t>
  </si>
  <si>
    <t>услуги по передаче электрической энергии:</t>
  </si>
  <si>
    <t>ставка на оплату технологического расхода (потерь)</t>
  </si>
  <si>
    <t>Для коммерческого оператора</t>
  </si>
  <si>
    <t>Предприятие не является коммерческтм оператором оптового рынка. Тариф не устанавливается</t>
  </si>
  <si>
    <t>Для гарантирующих поставщиков:</t>
  </si>
  <si>
    <t>величина сбытовой надбавки для населения и приравненных к нему категорий потребителей</t>
  </si>
  <si>
    <t>величина сбытовой надбавки для сетевых организаций, покупающих электрическую энергию для компенсации потерь электрической энергии</t>
  </si>
  <si>
    <t>величина сбытовой надбавки для прочих потребителей:</t>
  </si>
  <si>
    <t>цена на электрическую энергию</t>
  </si>
  <si>
    <t>в том числе топливная составляющая</t>
  </si>
  <si>
    <t>цена на генерирующую мощность</t>
  </si>
  <si>
    <t>не устанавливается</t>
  </si>
  <si>
    <t>средний одноставочный тариф на тепловую энергию</t>
  </si>
  <si>
    <t>филиал "Анадырская ТЭЦ"</t>
  </si>
  <si>
    <t>филиал "Эгвекинотская ГРЭС"</t>
  </si>
  <si>
    <t>одноставочный тариф на горячее водоснабжение</t>
  </si>
  <si>
    <t>тариф на отборный пар давлением:</t>
  </si>
  <si>
    <t>тариф на острый и редуцированный пар</t>
  </si>
  <si>
    <t>двухставочный тариф на тепловую энергию</t>
  </si>
  <si>
    <t>ставка на содержание тепловой мощности</t>
  </si>
  <si>
    <t>средний тариф на теплоноситель, в том числе:</t>
  </si>
  <si>
    <t>Фактические показатели за год, предшествующий базовому периоду
(2024 год)</t>
  </si>
  <si>
    <r>
      <t>Показатели, утвержденные на базовый период *</t>
    </r>
    <r>
      <rPr>
        <vertAlign val="superscript"/>
        <sz val="10"/>
        <rFont val="Times New Roman"/>
        <family val="1"/>
        <charset val="204"/>
      </rPr>
      <t xml:space="preserve">
</t>
    </r>
    <r>
      <rPr>
        <sz val="10"/>
        <rFont val="Times New Roman"/>
        <family val="1"/>
        <charset val="204"/>
      </rPr>
      <t>(2025 год)</t>
    </r>
  </si>
  <si>
    <t>предельный максимальный уровень цен (тарифов) на услуги по оперативно-диспетчерскому управлению в электроэнергетике в части обеспечения надежности функционирования электроэнергетики путем организации отбора исполнителей и оплаты услуг по обеспечению системной надежности, оказываемые акционерным обществом "Системный оператор Единой энергетической системы"</t>
  </si>
  <si>
    <t>Теплоноситель</t>
  </si>
  <si>
    <t>ТЭ</t>
  </si>
  <si>
    <t>ИТОГО</t>
  </si>
  <si>
    <t>АТЭЦ</t>
  </si>
  <si>
    <t>1 пол</t>
  </si>
  <si>
    <t>2 пол</t>
  </si>
  <si>
    <t>ПО</t>
  </si>
  <si>
    <t>НВВ</t>
  </si>
  <si>
    <t>ЭГРЭС</t>
  </si>
  <si>
    <t>ЧТЭЦ</t>
  </si>
  <si>
    <t>Период</t>
  </si>
  <si>
    <r>
      <t xml:space="preserve">Полезный отпуск, кВтч </t>
    </r>
    <r>
      <rPr>
        <sz val="11"/>
        <color rgb="FFFF0000"/>
        <rFont val="Calibri"/>
        <family val="2"/>
        <charset val="204"/>
        <scheme val="minor"/>
      </rPr>
      <t>(из формы 46ЕЕ)</t>
    </r>
  </si>
  <si>
    <t>Тариф, руб./кВтч</t>
  </si>
  <si>
    <t>Выручка, руб.</t>
  </si>
  <si>
    <t>Прочие потребители</t>
  </si>
  <si>
    <t>Население</t>
  </si>
  <si>
    <t>Всего</t>
  </si>
  <si>
    <t>ВН</t>
  </si>
  <si>
    <t>СН1</t>
  </si>
  <si>
    <t>СН2</t>
  </si>
  <si>
    <t>НН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</si>
  <si>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</si>
  <si>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</si>
  <si>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</si>
  <si>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</si>
  <si>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</si>
  <si>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</si>
  <si>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</si>
  <si>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</si>
  <si>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</si>
  <si>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</si>
  <si>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</si>
  <si>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</si>
  <si>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</si>
  <si>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>годовая 46 ф</t>
  </si>
  <si>
    <t>ПО без ЧГГК</t>
  </si>
  <si>
    <t>1квартал</t>
  </si>
  <si>
    <t>1 полугодие</t>
  </si>
  <si>
    <t>9 месяцев</t>
  </si>
  <si>
    <t>ГОД</t>
  </si>
  <si>
    <t>СЭС</t>
  </si>
  <si>
    <t>ЧГГК</t>
  </si>
  <si>
    <t>передача+сбыт</t>
  </si>
  <si>
    <t>ЧЭ</t>
  </si>
  <si>
    <t>убираем данные по ЧГГК</t>
  </si>
  <si>
    <t>передача</t>
  </si>
  <si>
    <t>сбыт</t>
  </si>
  <si>
    <t>проверка</t>
  </si>
  <si>
    <t>ЧЭ итого</t>
  </si>
  <si>
    <t>1пг</t>
  </si>
  <si>
    <t>2пг</t>
  </si>
  <si>
    <t>выр</t>
  </si>
  <si>
    <t>суб</t>
  </si>
  <si>
    <t>ЧЭ без ЧГГК</t>
  </si>
  <si>
    <t>Анализ топливной составляющей АО "Чукотэнерго"</t>
  </si>
  <si>
    <t>2024 год</t>
  </si>
  <si>
    <t>Электрическая энергия</t>
  </si>
  <si>
    <t>Месяц/
Ед.изм</t>
  </si>
  <si>
    <t>Отпуск с шин</t>
  </si>
  <si>
    <t>Стоимость топлива</t>
  </si>
  <si>
    <t>Стоимость единицы продукции</t>
  </si>
  <si>
    <t>тыс.квт-ч</t>
  </si>
  <si>
    <t>т.руб.</t>
  </si>
  <si>
    <t xml:space="preserve"> руб/1 квт-ч</t>
  </si>
  <si>
    <t>Тепловая энергия</t>
  </si>
  <si>
    <t>Отпуск с коллекторов</t>
  </si>
  <si>
    <t>Гкал</t>
  </si>
  <si>
    <t>руб/ 1 Гкал</t>
  </si>
  <si>
    <t>Тариф</t>
  </si>
  <si>
    <t>2 полугодие</t>
  </si>
  <si>
    <t>Год</t>
  </si>
  <si>
    <t>ИТОГО ЧЭ</t>
  </si>
  <si>
    <t>по данным сбыта</t>
  </si>
  <si>
    <t>ОТС от 25.12.2024 г. на 2025-2027 гг.</t>
  </si>
  <si>
    <t>Приказ Минэнерго России от 23.12.2024 г. №42@</t>
  </si>
  <si>
    <t>Утверждена 06.06.2024 г. Первым заместителем Генерального директора-Главным инженером на период 2024-2028 г.</t>
  </si>
  <si>
    <t>97,57</t>
  </si>
  <si>
    <t>95,56</t>
  </si>
  <si>
    <t>(в ред. от 27 декабря 2024 г.)</t>
  </si>
  <si>
    <t>ОТС от 20.04.2022 г. 
на 2022-2024 гг.</t>
  </si>
  <si>
    <t>первое полугодие (для 2024,2025 гг.), 
период 01.01.2026 - 30.09.2026 (для 2026 г.)</t>
  </si>
  <si>
    <t>второе полугодие (для 2024,2025 гг.), 
период 01.10.2026 - 31.12.2026 (для 2026 г.)</t>
  </si>
  <si>
    <t>115,14</t>
  </si>
  <si>
    <t>(актуализация на 12.12.2025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</si>
</sst>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%"/>
    <numFmt numFmtId="165" formatCode="#,##0.000"/>
    <numFmt numFmtId="166" formatCode="#,##0.0000"/>
    <numFmt numFmtId="167" formatCode="#,##0.000000"/>
    <numFmt numFmtId="168" formatCode="#,##0.00000"/>
    <numFmt numFmtId="169" formatCode="#,##0.0"/>
    <numFmt numFmtId="170" formatCode="0.0000000"/>
    <numFmt numFmtId="171" formatCode="0.000"/>
  </numFmts>
  <fonts count="46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7"/>
      <name val="Times New Roman"/>
      <family val="1"/>
      <charset val="204"/>
    </font>
    <font>
      <sz val="13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color rgb="FF22272F"/>
      <name val="Times New Roman"/>
      <family val="1"/>
      <charset val="204"/>
    </font>
    <font>
      <u/>
      <sz val="10"/>
      <color theme="10"/>
      <name val="Arial Cyr"/>
      <charset val="204"/>
    </font>
    <font>
      <u/>
      <sz val="12"/>
      <color theme="10"/>
      <name val="Times New Roman"/>
      <family val="1"/>
      <charset val="204"/>
    </font>
    <font>
      <sz val="10"/>
      <color theme="1"/>
      <name val="Tahoma"/>
      <family val="2"/>
    </font>
    <font>
      <sz val="10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color rgb="FFFF0000"/>
      <name val="Arial Cyr"/>
      <charset val="204"/>
    </font>
    <font>
      <sz val="9"/>
      <name val="Arial"/>
      <family val="2"/>
    </font>
    <font>
      <b/>
      <sz val="1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B0F0"/>
      <name val="Calibri"/>
      <family val="2"/>
      <charset val="204"/>
      <scheme val="minor"/>
    </font>
    <font>
      <b/>
      <sz val="11"/>
      <color rgb="FF00B0F0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0"/>
      <name val="Arial Cyr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92D05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i/>
      <sz val="12"/>
      <color rgb="FFC00000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7EAD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9" fontId="1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7" fillId="0" borderId="0"/>
    <xf numFmtId="0" fontId="2" fillId="0" borderId="0"/>
    <xf numFmtId="0" fontId="1" fillId="0" borderId="0"/>
  </cellStyleXfs>
  <cellXfs count="297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49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3" fillId="0" borderId="0" xfId="0" applyFont="1" applyAlignment="1">
      <alignment horizontal="left" wrapText="1"/>
    </xf>
    <xf numFmtId="0" fontId="9" fillId="0" borderId="4" xfId="0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left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vertical="top"/>
    </xf>
    <xf numFmtId="49" fontId="9" fillId="0" borderId="4" xfId="0" applyNumberFormat="1" applyFont="1" applyBorder="1" applyAlignment="1">
      <alignment horizontal="left" vertical="center" wrapText="1" indent="2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164" fontId="9" fillId="0" borderId="4" xfId="0" applyNumberFormat="1" applyFont="1" applyBorder="1" applyAlignment="1">
      <alignment horizontal="center" vertical="center"/>
    </xf>
    <xf numFmtId="164" fontId="9" fillId="0" borderId="4" xfId="1" applyNumberFormat="1" applyFont="1" applyBorder="1" applyAlignment="1">
      <alignment horizontal="center" vertical="center"/>
    </xf>
    <xf numFmtId="3" fontId="9" fillId="0" borderId="0" xfId="0" applyNumberFormat="1" applyFont="1" applyAlignment="1">
      <alignment horizontal="left"/>
    </xf>
    <xf numFmtId="3" fontId="9" fillId="0" borderId="0" xfId="0" applyNumberFormat="1" applyFont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3" fontId="9" fillId="0" borderId="0" xfId="0" applyNumberFormat="1" applyFont="1" applyBorder="1" applyAlignment="1">
      <alignment horizontal="center" vertical="center"/>
    </xf>
    <xf numFmtId="164" fontId="9" fillId="0" borderId="0" xfId="1" applyNumberFormat="1" applyFont="1" applyBorder="1" applyAlignment="1">
      <alignment horizontal="center" vertical="center"/>
    </xf>
    <xf numFmtId="0" fontId="9" fillId="0" borderId="0" xfId="0" applyNumberFormat="1" applyFont="1" applyBorder="1" applyAlignment="1">
      <alignment horizontal="center" vertical="center"/>
    </xf>
    <xf numFmtId="49" fontId="12" fillId="2" borderId="0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justify" vertical="center" wrapText="1"/>
    </xf>
    <xf numFmtId="4" fontId="9" fillId="0" borderId="4" xfId="0" applyNumberFormat="1" applyFont="1" applyBorder="1" applyAlignment="1">
      <alignment horizontal="center" vertical="center"/>
    </xf>
    <xf numFmtId="0" fontId="20" fillId="0" borderId="0" xfId="4" applyFont="1"/>
    <xf numFmtId="0" fontId="9" fillId="0" borderId="4" xfId="4" applyFont="1" applyBorder="1" applyAlignment="1">
      <alignment horizontal="center" vertical="center" wrapText="1"/>
    </xf>
    <xf numFmtId="0" fontId="9" fillId="0" borderId="4" xfId="4" applyFont="1" applyBorder="1" applyAlignment="1">
      <alignment horizontal="center" vertical="center"/>
    </xf>
    <xf numFmtId="0" fontId="9" fillId="0" borderId="4" xfId="4" applyFont="1" applyBorder="1" applyAlignment="1">
      <alignment horizontal="left" vertical="center" wrapText="1"/>
    </xf>
    <xf numFmtId="0" fontId="18" fillId="0" borderId="4" xfId="4" applyFont="1" applyBorder="1" applyAlignment="1">
      <alignment horizontal="center" vertical="center"/>
    </xf>
    <xf numFmtId="0" fontId="21" fillId="0" borderId="4" xfId="4" applyFont="1" applyBorder="1" applyAlignment="1">
      <alignment horizontal="center" vertical="center" wrapText="1"/>
    </xf>
    <xf numFmtId="4" fontId="9" fillId="0" borderId="4" xfId="4" applyNumberFormat="1" applyFont="1" applyBorder="1" applyAlignment="1">
      <alignment horizontal="center" vertical="center"/>
    </xf>
    <xf numFmtId="4" fontId="18" fillId="0" borderId="4" xfId="4" applyNumberFormat="1" applyFont="1" applyBorder="1" applyAlignment="1">
      <alignment horizontal="center" vertical="center"/>
    </xf>
    <xf numFmtId="0" fontId="21" fillId="0" borderId="4" xfId="4" applyFont="1" applyBorder="1" applyAlignment="1">
      <alignment horizontal="center" vertical="center"/>
    </xf>
    <xf numFmtId="0" fontId="22" fillId="0" borderId="0" xfId="4" applyFont="1"/>
    <xf numFmtId="2" fontId="9" fillId="0" borderId="4" xfId="4" applyNumberFormat="1" applyFont="1" applyBorder="1" applyAlignment="1">
      <alignment horizontal="center" vertical="center"/>
    </xf>
    <xf numFmtId="0" fontId="23" fillId="0" borderId="4" xfId="4" applyFont="1" applyBorder="1" applyAlignment="1">
      <alignment horizontal="center" vertical="center"/>
    </xf>
    <xf numFmtId="4" fontId="20" fillId="0" borderId="0" xfId="4" applyNumberFormat="1" applyFont="1"/>
    <xf numFmtId="167" fontId="20" fillId="0" borderId="0" xfId="4" applyNumberFormat="1" applyFont="1"/>
    <xf numFmtId="0" fontId="4" fillId="0" borderId="4" xfId="4" applyFont="1" applyBorder="1" applyAlignment="1">
      <alignment horizontal="center" vertical="center" wrapText="1"/>
    </xf>
    <xf numFmtId="0" fontId="12" fillId="0" borderId="4" xfId="4" applyFont="1" applyBorder="1" applyAlignment="1">
      <alignment horizontal="center" vertical="center"/>
    </xf>
    <xf numFmtId="0" fontId="24" fillId="0" borderId="0" xfId="4" applyFont="1" applyAlignment="1">
      <alignment horizontal="center" vertical="center"/>
    </xf>
    <xf numFmtId="0" fontId="24" fillId="0" borderId="0" xfId="4" applyFont="1" applyAlignment="1">
      <alignment horizontal="left" vertical="center" wrapText="1"/>
    </xf>
    <xf numFmtId="4" fontId="24" fillId="0" borderId="0" xfId="4" applyNumberFormat="1" applyFont="1" applyAlignment="1">
      <alignment horizontal="center" vertical="center"/>
    </xf>
    <xf numFmtId="0" fontId="20" fillId="0" borderId="0" xfId="4" applyFont="1" applyAlignment="1">
      <alignment horizontal="center" vertical="center"/>
    </xf>
    <xf numFmtId="0" fontId="20" fillId="0" borderId="0" xfId="4" applyFont="1" applyAlignment="1">
      <alignment horizontal="left" vertical="center" wrapText="1"/>
    </xf>
    <xf numFmtId="4" fontId="9" fillId="0" borderId="4" xfId="4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3" fontId="9" fillId="0" borderId="4" xfId="0" applyNumberFormat="1" applyFont="1" applyFill="1" applyBorder="1" applyAlignment="1">
      <alignment horizontal="center" vertical="center"/>
    </xf>
    <xf numFmtId="3" fontId="9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horizontal="left"/>
    </xf>
    <xf numFmtId="0" fontId="9" fillId="0" borderId="0" xfId="0" applyFont="1" applyBorder="1" applyAlignment="1">
      <alignment horizontal="left" vertical="center" wrapText="1"/>
    </xf>
    <xf numFmtId="0" fontId="12" fillId="2" borderId="0" xfId="0" applyFont="1" applyFill="1" applyBorder="1" applyAlignment="1">
      <alignment horizontal="left" vertical="center" wrapText="1"/>
    </xf>
    <xf numFmtId="164" fontId="9" fillId="0" borderId="0" xfId="1" applyNumberFormat="1" applyFont="1" applyBorder="1" applyAlignment="1">
      <alignment horizontal="left" vertical="center"/>
    </xf>
    <xf numFmtId="49" fontId="9" fillId="0" borderId="0" xfId="0" applyNumberFormat="1" applyFont="1" applyBorder="1" applyAlignment="1">
      <alignment horizontal="left" vertical="center"/>
    </xf>
    <xf numFmtId="0" fontId="9" fillId="0" borderId="0" xfId="0" applyNumberFormat="1" applyFont="1" applyBorder="1" applyAlignment="1">
      <alignment horizontal="left" vertical="center"/>
    </xf>
    <xf numFmtId="49" fontId="12" fillId="2" borderId="0" xfId="0" applyNumberFormat="1" applyFont="1" applyFill="1" applyBorder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29" fillId="2" borderId="0" xfId="0" applyFont="1" applyFill="1"/>
    <xf numFmtId="0" fontId="26" fillId="0" borderId="0" xfId="0" applyFont="1"/>
    <xf numFmtId="0" fontId="29" fillId="0" borderId="0" xfId="0" applyFont="1"/>
    <xf numFmtId="0" fontId="11" fillId="0" borderId="0" xfId="0" applyFont="1"/>
    <xf numFmtId="0" fontId="11" fillId="3" borderId="0" xfId="0" applyFont="1" applyFill="1"/>
    <xf numFmtId="0" fontId="29" fillId="0" borderId="0" xfId="0" applyFont="1" applyAlignment="1">
      <alignment horizontal="center"/>
    </xf>
    <xf numFmtId="165" fontId="29" fillId="0" borderId="0" xfId="0" applyNumberFormat="1" applyFont="1" applyFill="1"/>
    <xf numFmtId="3" fontId="29" fillId="0" borderId="0" xfId="0" applyNumberFormat="1" applyFont="1"/>
    <xf numFmtId="3" fontId="29" fillId="0" borderId="0" xfId="0" applyNumberFormat="1" applyFont="1" applyFill="1"/>
    <xf numFmtId="4" fontId="30" fillId="0" borderId="0" xfId="0" applyNumberFormat="1" applyFont="1" applyFill="1"/>
    <xf numFmtId="4" fontId="30" fillId="0" borderId="0" xfId="0" applyNumberFormat="1" applyFont="1"/>
    <xf numFmtId="0" fontId="26" fillId="0" borderId="0" xfId="0" applyFont="1" applyFill="1"/>
    <xf numFmtId="0" fontId="29" fillId="0" borderId="0" xfId="0" applyFont="1" applyFill="1" applyAlignment="1">
      <alignment horizontal="center"/>
    </xf>
    <xf numFmtId="3" fontId="31" fillId="0" borderId="0" xfId="0" applyNumberFormat="1" applyFont="1"/>
    <xf numFmtId="2" fontId="26" fillId="0" borderId="0" xfId="0" applyNumberFormat="1" applyFont="1" applyFill="1"/>
    <xf numFmtId="4" fontId="26" fillId="0" borderId="0" xfId="0" applyNumberFormat="1" applyFont="1" applyFill="1"/>
    <xf numFmtId="4" fontId="26" fillId="0" borderId="0" xfId="0" applyNumberFormat="1" applyFont="1"/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4" borderId="4" xfId="0" applyFill="1" applyBorder="1"/>
    <xf numFmtId="3" fontId="29" fillId="4" borderId="4" xfId="0" applyNumberFormat="1" applyFont="1" applyFill="1" applyBorder="1"/>
    <xf numFmtId="168" fontId="29" fillId="4" borderId="4" xfId="0" applyNumberFormat="1" applyFont="1" applyFill="1" applyBorder="1"/>
    <xf numFmtId="166" fontId="29" fillId="4" borderId="4" xfId="0" applyNumberFormat="1" applyFont="1" applyFill="1" applyBorder="1"/>
    <xf numFmtId="3" fontId="0" fillId="4" borderId="4" xfId="0" applyNumberFormat="1" applyFill="1" applyBorder="1"/>
    <xf numFmtId="3" fontId="0" fillId="0" borderId="0" xfId="0" applyNumberFormat="1"/>
    <xf numFmtId="0" fontId="0" fillId="4" borderId="7" xfId="0" applyFill="1" applyBorder="1"/>
    <xf numFmtId="3" fontId="29" fillId="4" borderId="7" xfId="0" applyNumberFormat="1" applyFont="1" applyFill="1" applyBorder="1"/>
    <xf numFmtId="168" fontId="29" fillId="4" borderId="7" xfId="0" applyNumberFormat="1" applyFont="1" applyFill="1" applyBorder="1"/>
    <xf numFmtId="166" fontId="29" fillId="4" borderId="7" xfId="0" applyNumberFormat="1" applyFont="1" applyFill="1" applyBorder="1"/>
    <xf numFmtId="3" fontId="0" fillId="4" borderId="7" xfId="0" applyNumberFormat="1" applyFill="1" applyBorder="1"/>
    <xf numFmtId="0" fontId="0" fillId="5" borderId="9" xfId="0" applyFill="1" applyBorder="1"/>
    <xf numFmtId="3" fontId="29" fillId="5" borderId="10" xfId="0" applyNumberFormat="1" applyFont="1" applyFill="1" applyBorder="1"/>
    <xf numFmtId="168" fontId="29" fillId="5" borderId="10" xfId="0" applyNumberFormat="1" applyFont="1" applyFill="1" applyBorder="1"/>
    <xf numFmtId="166" fontId="29" fillId="5" borderId="10" xfId="0" applyNumberFormat="1" applyFont="1" applyFill="1" applyBorder="1"/>
    <xf numFmtId="3" fontId="0" fillId="5" borderId="10" xfId="0" applyNumberFormat="1" applyFill="1" applyBorder="1"/>
    <xf numFmtId="3" fontId="0" fillId="5" borderId="11" xfId="0" applyNumberFormat="1" applyFill="1" applyBorder="1"/>
    <xf numFmtId="0" fontId="0" fillId="5" borderId="12" xfId="0" applyFill="1" applyBorder="1"/>
    <xf numFmtId="3" fontId="29" fillId="5" borderId="4" xfId="0" applyNumberFormat="1" applyFont="1" applyFill="1" applyBorder="1"/>
    <xf numFmtId="168" fontId="29" fillId="5" borderId="4" xfId="0" applyNumberFormat="1" applyFont="1" applyFill="1" applyBorder="1"/>
    <xf numFmtId="166" fontId="29" fillId="5" borderId="4" xfId="0" applyNumberFormat="1" applyFont="1" applyFill="1" applyBorder="1"/>
    <xf numFmtId="3" fontId="0" fillId="5" borderId="4" xfId="0" applyNumberFormat="1" applyFill="1" applyBorder="1"/>
    <xf numFmtId="3" fontId="0" fillId="5" borderId="13" xfId="0" applyNumberFormat="1" applyFill="1" applyBorder="1"/>
    <xf numFmtId="0" fontId="0" fillId="5" borderId="14" xfId="0" applyFill="1" applyBorder="1"/>
    <xf numFmtId="3" fontId="29" fillId="5" borderId="15" xfId="0" applyNumberFormat="1" applyFont="1" applyFill="1" applyBorder="1"/>
    <xf numFmtId="168" fontId="29" fillId="5" borderId="15" xfId="0" applyNumberFormat="1" applyFont="1" applyFill="1" applyBorder="1"/>
    <xf numFmtId="166" fontId="29" fillId="5" borderId="15" xfId="0" applyNumberFormat="1" applyFont="1" applyFill="1" applyBorder="1"/>
    <xf numFmtId="3" fontId="0" fillId="5" borderId="15" xfId="0" applyNumberFormat="1" applyFill="1" applyBorder="1"/>
    <xf numFmtId="3" fontId="0" fillId="5" borderId="16" xfId="0" applyNumberFormat="1" applyFill="1" applyBorder="1"/>
    <xf numFmtId="0" fontId="27" fillId="0" borderId="17" xfId="0" applyFont="1" applyBorder="1"/>
    <xf numFmtId="3" fontId="27" fillId="0" borderId="17" xfId="0" applyNumberFormat="1" applyFont="1" applyBorder="1"/>
    <xf numFmtId="3" fontId="27" fillId="0" borderId="17" xfId="0" applyNumberFormat="1" applyFont="1" applyFill="1" applyBorder="1"/>
    <xf numFmtId="168" fontId="32" fillId="0" borderId="17" xfId="0" applyNumberFormat="1" applyFont="1" applyBorder="1"/>
    <xf numFmtId="166" fontId="32" fillId="0" borderId="17" xfId="0" applyNumberFormat="1" applyFont="1" applyBorder="1"/>
    <xf numFmtId="3" fontId="27" fillId="0" borderId="0" xfId="0" applyNumberFormat="1" applyFont="1"/>
    <xf numFmtId="0" fontId="27" fillId="0" borderId="0" xfId="0" applyFont="1"/>
    <xf numFmtId="0" fontId="27" fillId="0" borderId="0" xfId="0" applyFont="1" applyBorder="1"/>
    <xf numFmtId="3" fontId="27" fillId="0" borderId="0" xfId="0" applyNumberFormat="1" applyFont="1" applyBorder="1"/>
    <xf numFmtId="3" fontId="27" fillId="0" borderId="0" xfId="0" applyNumberFormat="1" applyFont="1" applyFill="1" applyBorder="1"/>
    <xf numFmtId="168" fontId="27" fillId="0" borderId="0" xfId="0" applyNumberFormat="1" applyFont="1" applyBorder="1"/>
    <xf numFmtId="166" fontId="27" fillId="0" borderId="0" xfId="0" applyNumberFormat="1" applyFont="1" applyBorder="1"/>
    <xf numFmtId="3" fontId="33" fillId="6" borderId="18" xfId="0" applyNumberFormat="1" applyFont="1" applyFill="1" applyBorder="1" applyAlignment="1">
      <alignment horizontal="right" vertical="center" wrapText="1"/>
    </xf>
    <xf numFmtId="3" fontId="26" fillId="0" borderId="0" xfId="0" applyNumberFormat="1" applyFont="1"/>
    <xf numFmtId="4" fontId="0" fillId="0" borderId="0" xfId="0" applyNumberFormat="1"/>
    <xf numFmtId="166" fontId="0" fillId="0" borderId="0" xfId="0" applyNumberFormat="1"/>
    <xf numFmtId="3" fontId="28" fillId="0" borderId="0" xfId="0" applyNumberFormat="1" applyFont="1"/>
    <xf numFmtId="3" fontId="0" fillId="0" borderId="0" xfId="0" applyNumberFormat="1" applyAlignment="1">
      <alignment horizontal="right"/>
    </xf>
    <xf numFmtId="169" fontId="0" fillId="0" borderId="0" xfId="0" applyNumberFormat="1"/>
    <xf numFmtId="0" fontId="34" fillId="0" borderId="0" xfId="0" applyFont="1"/>
    <xf numFmtId="0" fontId="0" fillId="0" borderId="0" xfId="0" applyAlignment="1">
      <alignment horizontal="right"/>
    </xf>
    <xf numFmtId="3" fontId="34" fillId="0" borderId="0" xfId="0" applyNumberFormat="1" applyFont="1"/>
    <xf numFmtId="3" fontId="32" fillId="0" borderId="0" xfId="0" applyNumberFormat="1" applyFont="1"/>
    <xf numFmtId="3" fontId="35" fillId="0" borderId="0" xfId="0" applyNumberFormat="1" applyFont="1"/>
    <xf numFmtId="170" fontId="34" fillId="0" borderId="0" xfId="0" applyNumberFormat="1" applyFont="1"/>
    <xf numFmtId="167" fontId="34" fillId="0" borderId="0" xfId="0" applyNumberFormat="1" applyFont="1"/>
    <xf numFmtId="170" fontId="0" fillId="0" borderId="0" xfId="0" applyNumberFormat="1"/>
    <xf numFmtId="167" fontId="0" fillId="0" borderId="0" xfId="0" applyNumberFormat="1" applyFont="1"/>
    <xf numFmtId="0" fontId="0" fillId="0" borderId="4" xfId="0" applyBorder="1"/>
    <xf numFmtId="3" fontId="0" fillId="0" borderId="4" xfId="0" applyNumberFormat="1" applyBorder="1"/>
    <xf numFmtId="0" fontId="0" fillId="5" borderId="4" xfId="0" applyFill="1" applyBorder="1"/>
    <xf numFmtId="0" fontId="27" fillId="0" borderId="4" xfId="0" applyFont="1" applyBorder="1"/>
    <xf numFmtId="3" fontId="27" fillId="0" borderId="4" xfId="0" applyNumberFormat="1" applyFont="1" applyBorder="1"/>
    <xf numFmtId="171" fontId="0" fillId="0" borderId="0" xfId="0" applyNumberFormat="1"/>
    <xf numFmtId="168" fontId="0" fillId="4" borderId="4" xfId="0" applyNumberFormat="1" applyFill="1" applyBorder="1"/>
    <xf numFmtId="166" fontId="0" fillId="4" borderId="4" xfId="0" applyNumberFormat="1" applyFill="1" applyBorder="1"/>
    <xf numFmtId="168" fontId="0" fillId="4" borderId="7" xfId="0" applyNumberFormat="1" applyFill="1" applyBorder="1"/>
    <xf numFmtId="166" fontId="0" fillId="4" borderId="7" xfId="0" applyNumberFormat="1" applyFill="1" applyBorder="1"/>
    <xf numFmtId="168" fontId="0" fillId="5" borderId="10" xfId="0" applyNumberFormat="1" applyFill="1" applyBorder="1"/>
    <xf numFmtId="166" fontId="0" fillId="5" borderId="10" xfId="0" applyNumberFormat="1" applyFill="1" applyBorder="1"/>
    <xf numFmtId="168" fontId="0" fillId="5" borderId="4" xfId="0" applyNumberFormat="1" applyFill="1" applyBorder="1"/>
    <xf numFmtId="166" fontId="0" fillId="5" borderId="4" xfId="0" applyNumberFormat="1" applyFill="1" applyBorder="1"/>
    <xf numFmtId="168" fontId="0" fillId="5" borderId="15" xfId="0" applyNumberFormat="1" applyFill="1" applyBorder="1"/>
    <xf numFmtId="166" fontId="0" fillId="5" borderId="15" xfId="0" applyNumberFormat="1" applyFill="1" applyBorder="1"/>
    <xf numFmtId="168" fontId="27" fillId="0" borderId="17" xfId="0" applyNumberFormat="1" applyFont="1" applyBorder="1"/>
    <xf numFmtId="166" fontId="27" fillId="0" borderId="17" xfId="0" applyNumberFormat="1" applyFont="1" applyBorder="1"/>
    <xf numFmtId="3" fontId="25" fillId="0" borderId="0" xfId="0" applyNumberFormat="1" applyFont="1"/>
    <xf numFmtId="171" fontId="29" fillId="0" borderId="0" xfId="0" applyNumberFormat="1" applyFont="1"/>
    <xf numFmtId="167" fontId="29" fillId="0" borderId="0" xfId="0" applyNumberFormat="1" applyFont="1"/>
    <xf numFmtId="3" fontId="29" fillId="3" borderId="0" xfId="0" applyNumberFormat="1" applyFont="1" applyFill="1"/>
    <xf numFmtId="4" fontId="38" fillId="0" borderId="0" xfId="0" applyNumberFormat="1" applyFont="1"/>
    <xf numFmtId="0" fontId="39" fillId="0" borderId="0" xfId="0" applyFont="1"/>
    <xf numFmtId="0" fontId="40" fillId="0" borderId="0" xfId="0" applyFont="1"/>
    <xf numFmtId="0" fontId="39" fillId="3" borderId="0" xfId="0" applyFont="1" applyFill="1"/>
    <xf numFmtId="0" fontId="41" fillId="0" borderId="0" xfId="0" applyFont="1"/>
    <xf numFmtId="0" fontId="40" fillId="8" borderId="12" xfId="0" applyFont="1" applyFill="1" applyBorder="1" applyAlignment="1">
      <alignment horizontal="center" vertical="center" wrapText="1"/>
    </xf>
    <xf numFmtId="0" fontId="40" fillId="9" borderId="4" xfId="0" applyFont="1" applyFill="1" applyBorder="1" applyAlignment="1">
      <alignment horizontal="center" vertical="center" wrapText="1"/>
    </xf>
    <xf numFmtId="0" fontId="40" fillId="10" borderId="13" xfId="0" applyFont="1" applyFill="1" applyBorder="1" applyAlignment="1">
      <alignment horizontal="center" vertical="center" wrapText="1"/>
    </xf>
    <xf numFmtId="0" fontId="40" fillId="8" borderId="6" xfId="0" applyFont="1" applyFill="1" applyBorder="1" applyAlignment="1">
      <alignment horizontal="center" vertical="center" wrapText="1"/>
    </xf>
    <xf numFmtId="0" fontId="40" fillId="8" borderId="12" xfId="0" applyFont="1" applyFill="1" applyBorder="1" applyAlignment="1">
      <alignment horizontal="center" vertical="center"/>
    </xf>
    <xf numFmtId="0" fontId="40" fillId="9" borderId="4" xfId="0" applyFont="1" applyFill="1" applyBorder="1" applyAlignment="1">
      <alignment horizontal="center" vertical="center"/>
    </xf>
    <xf numFmtId="0" fontId="40" fillId="8" borderId="6" xfId="0" applyFont="1" applyFill="1" applyBorder="1" applyAlignment="1">
      <alignment horizontal="center" vertical="center"/>
    </xf>
    <xf numFmtId="0" fontId="40" fillId="0" borderId="23" xfId="0" applyFont="1" applyBorder="1"/>
    <xf numFmtId="3" fontId="40" fillId="8" borderId="12" xfId="0" applyNumberFormat="1" applyFont="1" applyFill="1" applyBorder="1"/>
    <xf numFmtId="3" fontId="40" fillId="9" borderId="4" xfId="0" applyNumberFormat="1" applyFont="1" applyFill="1" applyBorder="1"/>
    <xf numFmtId="2" fontId="40" fillId="10" borderId="13" xfId="0" applyNumberFormat="1" applyFont="1" applyFill="1" applyBorder="1"/>
    <xf numFmtId="3" fontId="40" fillId="8" borderId="6" xfId="0" applyNumberFormat="1" applyFont="1" applyFill="1" applyBorder="1"/>
    <xf numFmtId="0" fontId="19" fillId="0" borderId="24" xfId="0" applyFont="1" applyBorder="1" applyAlignment="1">
      <alignment wrapText="1"/>
    </xf>
    <xf numFmtId="3" fontId="19" fillId="8" borderId="14" xfId="0" applyNumberFormat="1" applyFont="1" applyFill="1" applyBorder="1" applyAlignment="1">
      <alignment vertical="center"/>
    </xf>
    <xf numFmtId="3" fontId="42" fillId="9" borderId="15" xfId="0" applyNumberFormat="1" applyFont="1" applyFill="1" applyBorder="1" applyAlignment="1">
      <alignment vertical="center"/>
    </xf>
    <xf numFmtId="2" fontId="19" fillId="10" borderId="16" xfId="0" applyNumberFormat="1" applyFont="1" applyFill="1" applyBorder="1" applyAlignment="1">
      <alignment vertical="center"/>
    </xf>
    <xf numFmtId="3" fontId="19" fillId="8" borderId="14" xfId="0" applyNumberFormat="1" applyFont="1" applyFill="1" applyBorder="1"/>
    <xf numFmtId="3" fontId="42" fillId="9" borderId="15" xfId="0" applyNumberFormat="1" applyFont="1" applyFill="1" applyBorder="1"/>
    <xf numFmtId="2" fontId="19" fillId="10" borderId="16" xfId="0" applyNumberFormat="1" applyFont="1" applyFill="1" applyBorder="1"/>
    <xf numFmtId="3" fontId="19" fillId="8" borderId="25" xfId="0" applyNumberFormat="1" applyFont="1" applyFill="1" applyBorder="1"/>
    <xf numFmtId="0" fontId="19" fillId="0" borderId="0" xfId="0" applyFont="1"/>
    <xf numFmtId="0" fontId="40" fillId="0" borderId="28" xfId="0" applyFont="1" applyBorder="1"/>
    <xf numFmtId="4" fontId="40" fillId="10" borderId="13" xfId="0" applyNumberFormat="1" applyFont="1" applyFill="1" applyBorder="1"/>
    <xf numFmtId="0" fontId="19" fillId="0" borderId="29" xfId="0" applyFont="1" applyBorder="1" applyAlignment="1">
      <alignment wrapText="1"/>
    </xf>
    <xf numFmtId="4" fontId="19" fillId="10" borderId="16" xfId="0" applyNumberFormat="1" applyFont="1" applyFill="1" applyBorder="1" applyAlignment="1">
      <alignment vertical="center"/>
    </xf>
    <xf numFmtId="4" fontId="42" fillId="10" borderId="16" xfId="0" applyNumberFormat="1" applyFont="1" applyFill="1" applyBorder="1"/>
    <xf numFmtId="3" fontId="42" fillId="8" borderId="14" xfId="0" applyNumberFormat="1" applyFont="1" applyFill="1" applyBorder="1"/>
    <xf numFmtId="4" fontId="19" fillId="10" borderId="16" xfId="0" applyNumberFormat="1" applyFont="1" applyFill="1" applyBorder="1"/>
    <xf numFmtId="165" fontId="43" fillId="0" borderId="0" xfId="0" applyNumberFormat="1" applyFont="1" applyFill="1"/>
    <xf numFmtId="3" fontId="43" fillId="0" borderId="0" xfId="0" applyNumberFormat="1" applyFont="1" applyFill="1"/>
    <xf numFmtId="0" fontId="11" fillId="0" borderId="0" xfId="0" applyFont="1" applyFill="1"/>
    <xf numFmtId="0" fontId="29" fillId="0" borderId="0" xfId="0" applyFont="1" applyFill="1"/>
    <xf numFmtId="0" fontId="26" fillId="2" borderId="0" xfId="0" applyFont="1" applyFill="1"/>
    <xf numFmtId="4" fontId="0" fillId="0" borderId="0" xfId="0" applyNumberFormat="1" applyAlignment="1">
      <alignment horizontal="right"/>
    </xf>
    <xf numFmtId="2" fontId="0" fillId="0" borderId="0" xfId="0" applyNumberFormat="1"/>
    <xf numFmtId="2" fontId="9" fillId="0" borderId="4" xfId="4" applyNumberFormat="1" applyFont="1" applyFill="1" applyBorder="1" applyAlignment="1">
      <alignment horizontal="center" vertical="center"/>
    </xf>
    <xf numFmtId="3" fontId="26" fillId="4" borderId="4" xfId="0" applyNumberFormat="1" applyFont="1" applyFill="1" applyBorder="1"/>
    <xf numFmtId="3" fontId="26" fillId="4" borderId="7" xfId="0" applyNumberFormat="1" applyFont="1" applyFill="1" applyBorder="1"/>
    <xf numFmtId="3" fontId="26" fillId="5" borderId="10" xfId="0" applyNumberFormat="1" applyFont="1" applyFill="1" applyBorder="1"/>
    <xf numFmtId="3" fontId="26" fillId="5" borderId="4" xfId="0" applyNumberFormat="1" applyFont="1" applyFill="1" applyBorder="1"/>
    <xf numFmtId="3" fontId="26" fillId="5" borderId="15" xfId="0" applyNumberFormat="1" applyFont="1" applyFill="1" applyBorder="1"/>
    <xf numFmtId="3" fontId="0" fillId="0" borderId="0" xfId="0" applyNumberFormat="1" applyFont="1"/>
    <xf numFmtId="0" fontId="0" fillId="0" borderId="0" xfId="0" applyFont="1"/>
    <xf numFmtId="3" fontId="40" fillId="0" borderId="0" xfId="0" applyNumberFormat="1" applyFont="1"/>
    <xf numFmtId="2" fontId="9" fillId="0" borderId="4" xfId="0" applyNumberFormat="1" applyFont="1" applyBorder="1" applyAlignment="1">
      <alignment horizontal="center" vertical="center"/>
    </xf>
    <xf numFmtId="1" fontId="9" fillId="0" borderId="4" xfId="0" applyNumberFormat="1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top" wrapText="1"/>
    </xf>
    <xf numFmtId="2" fontId="20" fillId="0" borderId="0" xfId="4" applyNumberFormat="1" applyFont="1"/>
    <xf numFmtId="0" fontId="9" fillId="11" borderId="4" xfId="4" applyFont="1" applyFill="1" applyBorder="1" applyAlignment="1">
      <alignment horizontal="center" vertical="center"/>
    </xf>
    <xf numFmtId="3" fontId="9" fillId="11" borderId="4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/>
    </xf>
    <xf numFmtId="49" fontId="9" fillId="0" borderId="4" xfId="0" applyNumberFormat="1" applyFont="1" applyBorder="1" applyAlignment="1">
      <alignment horizontal="center" vertical="center"/>
    </xf>
    <xf numFmtId="3" fontId="9" fillId="0" borderId="4" xfId="0" applyNumberFormat="1" applyFont="1" applyBorder="1" applyAlignment="1">
      <alignment horizontal="center" vertical="center"/>
    </xf>
    <xf numFmtId="165" fontId="9" fillId="0" borderId="4" xfId="0" applyNumberFormat="1" applyFont="1" applyBorder="1" applyAlignment="1">
      <alignment horizontal="center" vertical="center"/>
    </xf>
    <xf numFmtId="3" fontId="9" fillId="0" borderId="0" xfId="0" applyNumberFormat="1" applyFont="1" applyBorder="1" applyAlignment="1">
      <alignment horizontal="left" vertical="center"/>
    </xf>
    <xf numFmtId="165" fontId="9" fillId="0" borderId="4" xfId="0" applyNumberFormat="1" applyFont="1" applyFill="1" applyBorder="1" applyAlignment="1">
      <alignment horizontal="center" vertical="center"/>
    </xf>
    <xf numFmtId="4" fontId="9" fillId="11" borderId="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9" fillId="0" borderId="4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 wrapText="1"/>
    </xf>
    <xf numFmtId="4" fontId="40" fillId="0" borderId="0" xfId="0" applyNumberFormat="1" applyFont="1"/>
    <xf numFmtId="0" fontId="44" fillId="0" borderId="0" xfId="4" applyFont="1"/>
    <xf numFmtId="4" fontId="9" fillId="0" borderId="0" xfId="4" applyNumberFormat="1" applyFont="1" applyAlignment="1">
      <alignment horizontal="center" vertical="center"/>
    </xf>
    <xf numFmtId="0" fontId="9" fillId="3" borderId="0" xfId="0" applyFont="1" applyFill="1" applyBorder="1" applyAlignment="1">
      <alignment horizontal="left" vertical="center"/>
    </xf>
    <xf numFmtId="3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0" xfId="0" applyNumberFormat="1" applyFont="1" applyFill="1" applyBorder="1" applyAlignment="1">
      <alignment horizontal="center" vertical="center"/>
    </xf>
    <xf numFmtId="49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Alignment="1">
      <alignment horizontal="left"/>
    </xf>
    <xf numFmtId="14" fontId="9" fillId="0" borderId="4" xfId="4" applyNumberFormat="1" applyFont="1" applyBorder="1" applyAlignment="1">
      <alignment horizontal="center" vertical="center" wrapText="1"/>
    </xf>
    <xf numFmtId="0" fontId="9" fillId="0" borderId="4" xfId="4" applyFont="1" applyFill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4" fontId="9" fillId="0" borderId="4" xfId="0" applyNumberFormat="1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left"/>
    </xf>
    <xf numFmtId="164" fontId="9" fillId="0" borderId="4" xfId="1" applyNumberFormat="1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9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45" fillId="0" borderId="0" xfId="0" applyFont="1" applyFill="1" applyAlignment="1">
      <alignment horizontal="center"/>
    </xf>
    <xf numFmtId="0" fontId="16" fillId="0" borderId="0" xfId="2" applyFont="1" applyAlignment="1">
      <alignment horizontal="left"/>
    </xf>
    <xf numFmtId="49" fontId="3" fillId="0" borderId="0" xfId="0" applyNumberFormat="1" applyFont="1" applyAlignment="1">
      <alignment horizontal="left"/>
    </xf>
    <xf numFmtId="0" fontId="14" fillId="0" borderId="0" xfId="0" applyFont="1" applyAlignment="1">
      <alignment horizontal="justify" vertical="center" wrapText="1"/>
    </xf>
    <xf numFmtId="0" fontId="9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2" fillId="2" borderId="4" xfId="0" applyFont="1" applyFill="1" applyBorder="1" applyAlignment="1">
      <alignment horizontal="center" vertical="center" wrapText="1"/>
    </xf>
    <xf numFmtId="49" fontId="12" fillId="2" borderId="4" xfId="0" applyNumberFormat="1" applyFont="1" applyFill="1" applyBorder="1" applyAlignment="1">
      <alignment horizontal="center" vertical="center"/>
    </xf>
    <xf numFmtId="49" fontId="9" fillId="11" borderId="5" xfId="0" applyNumberFormat="1" applyFont="1" applyFill="1" applyBorder="1" applyAlignment="1">
      <alignment horizontal="center" vertical="center" wrapText="1"/>
    </xf>
    <xf numFmtId="49" fontId="9" fillId="11" borderId="3" xfId="0" applyNumberFormat="1" applyFont="1" applyFill="1" applyBorder="1" applyAlignment="1">
      <alignment horizontal="center" vertical="center" wrapText="1"/>
    </xf>
    <xf numFmtId="49" fontId="9" fillId="11" borderId="6" xfId="0" applyNumberFormat="1" applyFont="1" applyFill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49" fontId="9" fillId="11" borderId="5" xfId="0" applyNumberFormat="1" applyFont="1" applyFill="1" applyBorder="1" applyAlignment="1">
      <alignment horizontal="center" vertical="center"/>
    </xf>
    <xf numFmtId="49" fontId="9" fillId="11" borderId="3" xfId="0" applyNumberFormat="1" applyFont="1" applyFill="1" applyBorder="1" applyAlignment="1">
      <alignment horizontal="center" vertical="center"/>
    </xf>
    <xf numFmtId="49" fontId="9" fillId="11" borderId="6" xfId="0" applyNumberFormat="1" applyFont="1" applyFill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19" fillId="0" borderId="0" xfId="4" applyFont="1" applyAlignment="1">
      <alignment horizontal="center" vertical="center"/>
    </xf>
    <xf numFmtId="0" fontId="9" fillId="0" borderId="4" xfId="4" applyFont="1" applyBorder="1" applyAlignment="1">
      <alignment horizontal="center" vertical="center" wrapText="1"/>
    </xf>
    <xf numFmtId="0" fontId="9" fillId="0" borderId="4" xfId="4" applyFont="1" applyBorder="1" applyAlignment="1">
      <alignment horizontal="center" vertical="center"/>
    </xf>
    <xf numFmtId="0" fontId="9" fillId="0" borderId="5" xfId="4" applyFont="1" applyBorder="1" applyAlignment="1">
      <alignment horizontal="center" vertical="center"/>
    </xf>
    <xf numFmtId="0" fontId="9" fillId="0" borderId="3" xfId="4" applyFont="1" applyBorder="1" applyAlignment="1">
      <alignment horizontal="center" vertical="center"/>
    </xf>
    <xf numFmtId="0" fontId="9" fillId="0" borderId="7" xfId="4" applyFont="1" applyBorder="1" applyAlignment="1">
      <alignment horizontal="center" vertical="center"/>
    </xf>
    <xf numFmtId="0" fontId="9" fillId="0" borderId="8" xfId="4" applyFont="1" applyBorder="1" applyAlignment="1">
      <alignment horizontal="center" vertical="center"/>
    </xf>
    <xf numFmtId="0" fontId="9" fillId="0" borderId="0" xfId="4" applyFont="1" applyBorder="1" applyAlignment="1">
      <alignment horizontal="center" vertical="center" wrapText="1"/>
    </xf>
    <xf numFmtId="0" fontId="29" fillId="0" borderId="0" xfId="0" applyFont="1" applyFill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0" fillId="0" borderId="19" xfId="0" applyFont="1" applyBorder="1" applyAlignment="1">
      <alignment horizontal="center" vertical="center" wrapText="1"/>
    </xf>
    <xf numFmtId="0" fontId="40" fillId="0" borderId="21" xfId="0" applyFont="1" applyBorder="1" applyAlignment="1">
      <alignment horizontal="center" vertical="center" wrapText="1"/>
    </xf>
    <xf numFmtId="0" fontId="40" fillId="0" borderId="22" xfId="0" applyFont="1" applyBorder="1" applyAlignment="1">
      <alignment horizontal="center" vertical="center" wrapText="1"/>
    </xf>
    <xf numFmtId="0" fontId="40" fillId="7" borderId="9" xfId="0" applyFont="1" applyFill="1" applyBorder="1" applyAlignment="1">
      <alignment horizontal="center" vertical="center"/>
    </xf>
    <xf numFmtId="0" fontId="40" fillId="7" borderId="10" xfId="0" applyFont="1" applyFill="1" applyBorder="1" applyAlignment="1">
      <alignment horizontal="center" vertical="center"/>
    </xf>
    <xf numFmtId="0" fontId="40" fillId="7" borderId="11" xfId="0" applyFont="1" applyFill="1" applyBorder="1" applyAlignment="1">
      <alignment horizontal="center" vertical="center"/>
    </xf>
    <xf numFmtId="0" fontId="40" fillId="7" borderId="20" xfId="0" applyFont="1" applyFill="1" applyBorder="1" applyAlignment="1">
      <alignment horizontal="center" vertical="center"/>
    </xf>
    <xf numFmtId="0" fontId="40" fillId="0" borderId="26" xfId="0" applyFont="1" applyBorder="1" applyAlignment="1">
      <alignment horizontal="center" vertical="center" wrapText="1"/>
    </xf>
    <xf numFmtId="0" fontId="40" fillId="0" borderId="27" xfId="0" applyFont="1" applyBorder="1" applyAlignment="1">
      <alignment horizontal="center" vertical="center" wrapText="1"/>
    </xf>
  </cellXfs>
  <cellStyles count="6">
    <cellStyle name="Гиперссылка" xfId="2" builtinId="8"/>
    <cellStyle name="Обычный" xfId="0" builtinId="0"/>
    <cellStyle name="Обычный 2" xfId="4" xr:uid="{00000000-0005-0000-0000-000002000000}"/>
    <cellStyle name="Обычный 2 2" xfId="5" xr:uid="{00000000-0005-0000-0000-000003000000}"/>
    <cellStyle name="Обычный 3" xfId="3" xr:uid="{00000000-0005-0000-0000-000004000000}"/>
    <cellStyle name="Процентный" xfId="1" builtinId="5"/>
  </cellStyles>
  <dxfs count="0"/>
  <tableStyles count="0" defaultTableStyle="TableStyleMedium2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3;&#1091;&#1082;&#1086;&#1090;&#1101;&#1085;&#1077;&#1088;&#1075;&#1086;\&#1058;&#1072;&#1088;&#1080;&#1092;&#1085;&#1086;&#1077;%20&#1088;&#1077;&#1075;&#1091;&#1083;&#1080;&#1088;&#1086;&#1074;&#1072;&#1085;&#1080;&#1077;\&#1056;&#1072;&#1089;&#1095;&#1077;&#1090;&#1099;%20&#1090;&#1072;&#1088;&#1080;&#1092;&#1086;&#1074;\2026_&#1056;&#1072;&#1089;&#1095;&#1077;&#1090;&#1099;%20&#1090;&#1072;&#1088;&#1080;&#1092;&#1086;&#1074;\&#1054;&#1090;&#1076;&#1077;&#1083;&#1099;\&#1054;&#1069;\2024_&#1042;&#1099;&#1088;&#1091;&#1095;&#1082;&#1072;%20&#1087;&#1086;%20&#1087;&#1077;&#1088;&#1077;&#1076;&#1072;&#1095;&#1077;%20&#1080;%20&#1089;&#1073;&#1099;&#1090;&#1091;_&#1063;&#106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3;&#1091;&#1082;&#1086;&#1090;&#1101;&#1085;&#1077;&#1088;&#1075;&#1086;\&#1058;&#1072;&#1088;&#1080;&#1092;&#1085;&#1086;&#1077;%20&#1088;&#1077;&#1075;&#1091;&#1083;&#1080;&#1088;&#1086;&#1074;&#1072;&#1085;&#1080;&#1077;\&#1056;&#1072;&#1089;&#1095;&#1077;&#1090;&#1099;%20&#1090;&#1072;&#1088;&#1080;&#1092;&#1086;&#1074;\2025_&#1056;&#1072;&#1089;&#1095;&#1077;&#1090;&#1099;%20&#1090;&#1072;&#1088;&#1080;&#1092;&#1086;&#1074;\&#1069;&#1051;&#1045;&#1050;&#1058;&#1056;&#1054;_&#1040;&#1054;%20&#1063;&#1091;&#1082;&#1086;&#1090;&#1101;&#1085;&#1077;&#1088;&#1075;&#1086;-&#1063;&#1043;&#1043;&#1050;_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2.&#1054;&#1058;&#1063;&#1045;&#1058;&#1067;\&#1062;&#1077;&#1085;&#1086;&#1086;&#1073;&#1088;&#1072;&#1079;&#1086;&#1074;&#1072;&#1085;&#1080;&#1077;%20&#1087;&#1086;%20&#1090;&#1086;&#1087;&#1083;&#1080;&#1074;&#1091;\2024\&#1062;&#1077;&#1085;&#1086;&#1086;&#1073;&#1088;&#1072;&#1079;&#1086;&#1074;&#1072;&#1085;&#1080;&#1077;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4 перед"/>
      <sheetName val="2018 факт (2)"/>
      <sheetName val="2024 сбыт"/>
      <sheetName val="Лист1"/>
    </sheetNames>
    <sheetDataSet>
      <sheetData sheetId="0">
        <row r="4">
          <cell r="C4">
            <v>21638718.300000001</v>
          </cell>
          <cell r="D4">
            <v>11377573.1667</v>
          </cell>
          <cell r="E4">
            <v>8907104.7318199985</v>
          </cell>
          <cell r="F4">
            <v>2244618.5472499998</v>
          </cell>
          <cell r="G4">
            <v>3354804.6040999996</v>
          </cell>
        </row>
        <row r="5">
          <cell r="C5">
            <v>19775621.5</v>
          </cell>
          <cell r="D5">
            <v>10689591.658</v>
          </cell>
          <cell r="E5">
            <v>9182235.1937800013</v>
          </cell>
          <cell r="F5">
            <v>2069397.4856999998</v>
          </cell>
          <cell r="G5">
            <v>3430953.7641099994</v>
          </cell>
        </row>
        <row r="6">
          <cell r="C6">
            <v>19424502.100000001</v>
          </cell>
          <cell r="D6">
            <v>10559783.704499999</v>
          </cell>
          <cell r="E6">
            <v>7161618.8217899986</v>
          </cell>
          <cell r="F6">
            <v>1858727.5613699998</v>
          </cell>
          <cell r="G6">
            <v>2867143.9052899997</v>
          </cell>
        </row>
        <row r="7">
          <cell r="C7">
            <v>18757765.800000001</v>
          </cell>
          <cell r="D7">
            <v>9202524.1731000002</v>
          </cell>
          <cell r="E7">
            <v>6782444.6131500006</v>
          </cell>
          <cell r="F7">
            <v>1700473.4667099998</v>
          </cell>
          <cell r="G7">
            <v>3145563.5877899998</v>
          </cell>
        </row>
        <row r="8">
          <cell r="C8">
            <v>15656145.800000001</v>
          </cell>
          <cell r="D8">
            <v>7379270.5447000004</v>
          </cell>
          <cell r="E8">
            <v>5580669.8096700013</v>
          </cell>
          <cell r="F8">
            <v>1527900.36054</v>
          </cell>
          <cell r="G8">
            <v>2697178.82681</v>
          </cell>
        </row>
        <row r="9">
          <cell r="C9">
            <v>15149595.000000002</v>
          </cell>
          <cell r="D9">
            <v>6059974.4936000006</v>
          </cell>
          <cell r="E9">
            <v>4079061.3999899998</v>
          </cell>
          <cell r="F9">
            <v>1348573.0252099999</v>
          </cell>
          <cell r="G9">
            <v>2360526.62488</v>
          </cell>
        </row>
        <row r="10">
          <cell r="C10">
            <v>14637004.01</v>
          </cell>
          <cell r="D10">
            <v>5771397.0005999999</v>
          </cell>
          <cell r="E10">
            <v>2808034.5683600008</v>
          </cell>
          <cell r="F10">
            <v>1158445.8093099999</v>
          </cell>
          <cell r="G10">
            <v>2346581.2117299992</v>
          </cell>
        </row>
        <row r="11">
          <cell r="C11">
            <v>15865750.489999998</v>
          </cell>
          <cell r="D11">
            <v>4913744.8825100008</v>
          </cell>
          <cell r="E11">
            <v>3660514.9712000005</v>
          </cell>
          <cell r="F11">
            <v>1433633.0849699997</v>
          </cell>
          <cell r="G11">
            <v>2993744.2097299998</v>
          </cell>
        </row>
        <row r="12">
          <cell r="C12">
            <v>15538051.6</v>
          </cell>
          <cell r="D12">
            <v>7740009.6112900004</v>
          </cell>
          <cell r="E12">
            <v>4387325.522961</v>
          </cell>
          <cell r="F12">
            <v>1474263.9199000003</v>
          </cell>
          <cell r="G12">
            <v>2557419.6325699999</v>
          </cell>
        </row>
        <row r="13">
          <cell r="C13">
            <v>15718720.1</v>
          </cell>
          <cell r="D13">
            <v>7740277.3986099996</v>
          </cell>
          <cell r="E13">
            <v>6208333.4604899995</v>
          </cell>
          <cell r="F13">
            <v>1708718.13469</v>
          </cell>
          <cell r="G13">
            <v>3109415.1561300005</v>
          </cell>
        </row>
        <row r="14">
          <cell r="C14">
            <v>17065948.199999999</v>
          </cell>
          <cell r="D14">
            <v>10335463.75299</v>
          </cell>
          <cell r="E14">
            <v>9336390.87579</v>
          </cell>
          <cell r="F14">
            <v>2046935.021835</v>
          </cell>
          <cell r="G14">
            <v>2929290.2430400015</v>
          </cell>
        </row>
        <row r="15">
          <cell r="C15">
            <v>16528352.200000001</v>
          </cell>
          <cell r="D15">
            <v>10872691.477149997</v>
          </cell>
          <cell r="E15">
            <v>8038467.0533500016</v>
          </cell>
          <cell r="F15">
            <v>1602808.2515199999</v>
          </cell>
          <cell r="G15">
            <v>2889752.2584300004</v>
          </cell>
        </row>
        <row r="16">
          <cell r="B16">
            <v>439387546.67971599</v>
          </cell>
          <cell r="C16">
            <v>205756175.09999996</v>
          </cell>
          <cell r="D16">
            <v>102642301.86374998</v>
          </cell>
          <cell r="E16">
            <v>76132201.022350997</v>
          </cell>
          <cell r="F16">
            <v>20174494.669004999</v>
          </cell>
          <cell r="G16">
            <v>34682374.024609998</v>
          </cell>
          <cell r="N16">
            <v>923638561.03710544</v>
          </cell>
        </row>
        <row r="23">
          <cell r="N23">
            <v>276014017.62111431</v>
          </cell>
        </row>
        <row r="24">
          <cell r="N24">
            <v>478557178.6997146</v>
          </cell>
        </row>
        <row r="25">
          <cell r="N25">
            <v>662071753.16782391</v>
          </cell>
        </row>
        <row r="52">
          <cell r="E52">
            <v>154245515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 9"/>
      <sheetName val="страх.взносы (2)"/>
    </sheetNames>
    <sheetDataSet>
      <sheetData sheetId="0">
        <row r="87">
          <cell r="E87">
            <v>0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"/>
      <sheetName val="Февраль"/>
      <sheetName val="2 мес"/>
      <sheetName val="Март"/>
      <sheetName val="1 кв"/>
      <sheetName val="Апрель"/>
      <sheetName val="4 мес"/>
      <sheetName val="Май"/>
      <sheetName val="5 мес"/>
      <sheetName val="Июнь"/>
      <sheetName val="2 кв"/>
      <sheetName val="6 мес"/>
      <sheetName val="Июль"/>
      <sheetName val="7 мес"/>
      <sheetName val="Август"/>
      <sheetName val="8 мес"/>
      <sheetName val="Сентябрь"/>
      <sheetName val="3 кв"/>
      <sheetName val="9 мес"/>
      <sheetName val="Октябрь"/>
      <sheetName val="10 мес"/>
      <sheetName val="Ноябрь"/>
      <sheetName val="11 мес"/>
      <sheetName val="Декабрь"/>
      <sheetName val="4 кв"/>
      <sheetName val="2024 факт "/>
      <sheetName val="05.20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38">
          <cell r="G38">
            <v>34636.1</v>
          </cell>
          <cell r="H38">
            <v>3584.2000000000044</v>
          </cell>
        </row>
        <row r="41">
          <cell r="G41">
            <v>48328.3</v>
          </cell>
          <cell r="H41">
            <v>13671.099999999991</v>
          </cell>
        </row>
      </sheetData>
      <sheetData sheetId="13" refreshError="1"/>
      <sheetData sheetId="14" refreshError="1">
        <row r="38">
          <cell r="G38">
            <v>74068.800000000003</v>
          </cell>
          <cell r="H38">
            <v>2940.1999999999971</v>
          </cell>
        </row>
        <row r="41">
          <cell r="G41">
            <v>49686.8</v>
          </cell>
          <cell r="H41">
            <v>31300.699999999983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oc@chukotenergo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FFFF"/>
  </sheetPr>
  <dimension ref="A1:D34"/>
  <sheetViews>
    <sheetView tabSelected="1" view="pageBreakPreview" zoomScale="110" zoomScaleNormal="100" zoomScaleSheetLayoutView="110" workbookViewId="0">
      <selection activeCell="A14" sqref="A14:D14"/>
    </sheetView>
  </sheetViews>
  <sheetFormatPr defaultColWidth="1.42578125" defaultRowHeight="15.75" x14ac:dyDescent="0.25"/>
  <cols>
    <col min="1" max="1" width="31.28515625" style="1" customWidth="1"/>
    <col min="2" max="2" width="17.85546875" style="1" customWidth="1"/>
    <col min="3" max="3" width="20.7109375" style="1" customWidth="1"/>
    <col min="4" max="4" width="38.42578125" style="1" customWidth="1"/>
    <col min="5" max="16384" width="1.42578125" style="1"/>
  </cols>
  <sheetData>
    <row r="1" spans="1:4" s="2" customFormat="1" ht="12.75" customHeight="1" x14ac:dyDescent="0.2">
      <c r="A1" s="251" t="s">
        <v>0</v>
      </c>
      <c r="B1" s="251"/>
      <c r="C1" s="251"/>
      <c r="D1" s="251"/>
    </row>
    <row r="2" spans="1:4" s="2" customFormat="1" ht="12.75" customHeight="1" x14ac:dyDescent="0.2">
      <c r="A2" s="251" t="s">
        <v>1</v>
      </c>
      <c r="B2" s="251"/>
      <c r="C2" s="251"/>
      <c r="D2" s="251"/>
    </row>
    <row r="3" spans="1:4" s="2" customFormat="1" ht="12.75" customHeight="1" x14ac:dyDescent="0.2">
      <c r="A3" s="251" t="s">
        <v>2</v>
      </c>
      <c r="B3" s="251"/>
      <c r="C3" s="251"/>
      <c r="D3" s="251"/>
    </row>
    <row r="4" spans="1:4" s="2" customFormat="1" ht="12.75" customHeight="1" x14ac:dyDescent="0.2">
      <c r="A4" s="251" t="s">
        <v>4</v>
      </c>
      <c r="B4" s="251"/>
      <c r="C4" s="251"/>
      <c r="D4" s="251"/>
    </row>
    <row r="5" spans="1:4" s="2" customFormat="1" ht="12.75" customHeight="1" x14ac:dyDescent="0.2">
      <c r="A5" s="251" t="s">
        <v>3</v>
      </c>
      <c r="B5" s="251"/>
      <c r="C5" s="251"/>
      <c r="D5" s="251"/>
    </row>
    <row r="6" spans="1:4" s="2" customFormat="1" ht="12.75" customHeight="1" x14ac:dyDescent="0.2">
      <c r="A6" s="252" t="s">
        <v>375</v>
      </c>
      <c r="B6" s="252"/>
      <c r="C6" s="252"/>
      <c r="D6" s="252"/>
    </row>
    <row r="10" spans="1:4" s="3" customFormat="1" ht="18.75" x14ac:dyDescent="0.3">
      <c r="A10" s="256" t="s">
        <v>5</v>
      </c>
      <c r="B10" s="256"/>
      <c r="C10" s="256"/>
      <c r="D10" s="256"/>
    </row>
    <row r="11" spans="1:4" s="3" customFormat="1" ht="18.75" x14ac:dyDescent="0.3">
      <c r="A11" s="256" t="s">
        <v>6</v>
      </c>
      <c r="B11" s="256"/>
      <c r="C11" s="256"/>
      <c r="D11" s="256"/>
    </row>
    <row r="12" spans="1:4" s="3" customFormat="1" ht="18.75" x14ac:dyDescent="0.3">
      <c r="A12" s="257" t="s">
        <v>154</v>
      </c>
      <c r="B12" s="257"/>
      <c r="C12" s="20">
        <v>2026</v>
      </c>
      <c r="D12" s="19" t="s">
        <v>255</v>
      </c>
    </row>
    <row r="13" spans="1:4" s="4" customFormat="1" ht="10.5" x14ac:dyDescent="0.2">
      <c r="C13" s="18" t="s">
        <v>7</v>
      </c>
    </row>
    <row r="14" spans="1:4" x14ac:dyDescent="0.25">
      <c r="A14" s="258" t="s">
        <v>380</v>
      </c>
      <c r="B14" s="258"/>
      <c r="C14" s="258"/>
      <c r="D14" s="258"/>
    </row>
    <row r="17" spans="1:4" ht="18.75" x14ac:dyDescent="0.25">
      <c r="A17" s="253" t="s">
        <v>249</v>
      </c>
      <c r="B17" s="253"/>
      <c r="C17" s="253"/>
      <c r="D17" s="253"/>
    </row>
    <row r="18" spans="1:4" s="4" customFormat="1" ht="10.5" x14ac:dyDescent="0.2">
      <c r="A18" s="254" t="s">
        <v>8</v>
      </c>
      <c r="B18" s="254"/>
      <c r="C18" s="254"/>
      <c r="D18" s="254"/>
    </row>
    <row r="19" spans="1:4" ht="18.75" x14ac:dyDescent="0.25">
      <c r="A19" s="253" t="s">
        <v>251</v>
      </c>
      <c r="B19" s="253"/>
      <c r="C19" s="253"/>
      <c r="D19" s="253"/>
    </row>
    <row r="23" spans="1:4" s="5" customFormat="1" ht="16.5" x14ac:dyDescent="0.25">
      <c r="A23" s="255" t="s">
        <v>9</v>
      </c>
      <c r="B23" s="255"/>
      <c r="C23" s="255"/>
      <c r="D23" s="255"/>
    </row>
    <row r="25" spans="1:4" x14ac:dyDescent="0.25">
      <c r="A25" s="1" t="s">
        <v>10</v>
      </c>
      <c r="B25" s="250" t="s">
        <v>249</v>
      </c>
      <c r="C25" s="250"/>
      <c r="D25" s="250"/>
    </row>
    <row r="26" spans="1:4" x14ac:dyDescent="0.25">
      <c r="A26" s="1" t="s">
        <v>11</v>
      </c>
      <c r="B26" s="250" t="s">
        <v>250</v>
      </c>
      <c r="C26" s="250"/>
      <c r="D26" s="250"/>
    </row>
    <row r="27" spans="1:4" x14ac:dyDescent="0.25">
      <c r="A27" s="1" t="s">
        <v>12</v>
      </c>
      <c r="B27" s="250" t="s">
        <v>252</v>
      </c>
      <c r="C27" s="250"/>
      <c r="D27" s="250"/>
    </row>
    <row r="28" spans="1:4" x14ac:dyDescent="0.25">
      <c r="A28" s="1" t="s">
        <v>13</v>
      </c>
      <c r="B28" s="250" t="s">
        <v>252</v>
      </c>
      <c r="C28" s="250"/>
      <c r="D28" s="250"/>
    </row>
    <row r="29" spans="1:4" x14ac:dyDescent="0.25">
      <c r="A29" s="1" t="s">
        <v>14</v>
      </c>
      <c r="B29" s="250">
        <v>8700000339</v>
      </c>
      <c r="C29" s="250"/>
      <c r="D29" s="250"/>
    </row>
    <row r="30" spans="1:4" x14ac:dyDescent="0.25">
      <c r="A30" s="1" t="s">
        <v>15</v>
      </c>
      <c r="B30" s="250">
        <v>870901001</v>
      </c>
      <c r="C30" s="250"/>
      <c r="D30" s="250"/>
    </row>
    <row r="31" spans="1:4" x14ac:dyDescent="0.25">
      <c r="A31" s="1" t="s">
        <v>16</v>
      </c>
      <c r="B31" s="250" t="s">
        <v>256</v>
      </c>
      <c r="C31" s="250"/>
      <c r="D31" s="250"/>
    </row>
    <row r="32" spans="1:4" x14ac:dyDescent="0.25">
      <c r="A32" s="1" t="s">
        <v>17</v>
      </c>
      <c r="B32" s="259" t="s">
        <v>253</v>
      </c>
      <c r="C32" s="259"/>
      <c r="D32" s="259"/>
    </row>
    <row r="33" spans="1:4" x14ac:dyDescent="0.25">
      <c r="A33" s="1" t="s">
        <v>18</v>
      </c>
      <c r="B33" s="260" t="s">
        <v>254</v>
      </c>
      <c r="C33" s="260"/>
      <c r="D33" s="260"/>
    </row>
    <row r="34" spans="1:4" x14ac:dyDescent="0.25">
      <c r="A34" s="1" t="s">
        <v>19</v>
      </c>
      <c r="B34" s="260" t="s">
        <v>257</v>
      </c>
      <c r="C34" s="260"/>
      <c r="D34" s="260"/>
    </row>
  </sheetData>
  <mergeCells count="24">
    <mergeCell ref="B32:D32"/>
    <mergeCell ref="B33:D33"/>
    <mergeCell ref="B34:D34"/>
    <mergeCell ref="B27:D27"/>
    <mergeCell ref="B28:D28"/>
    <mergeCell ref="B29:D29"/>
    <mergeCell ref="B30:D30"/>
    <mergeCell ref="B31:D31"/>
    <mergeCell ref="B25:D25"/>
    <mergeCell ref="B26:D26"/>
    <mergeCell ref="A1:D1"/>
    <mergeCell ref="A2:D2"/>
    <mergeCell ref="A3:D3"/>
    <mergeCell ref="A4:D4"/>
    <mergeCell ref="A5:D5"/>
    <mergeCell ref="A6:D6"/>
    <mergeCell ref="A17:D17"/>
    <mergeCell ref="A18:D18"/>
    <mergeCell ref="A19:D19"/>
    <mergeCell ref="A23:D23"/>
    <mergeCell ref="A10:D10"/>
    <mergeCell ref="A11:D11"/>
    <mergeCell ref="A12:B12"/>
    <mergeCell ref="A14:D14"/>
  </mergeCells>
  <phoneticPr fontId="0" type="noConversion"/>
  <hyperlinks>
    <hyperlink ref="B32" r:id="rId1" xr:uid="{00000000-0004-0000-0000-000000000000}"/>
  </hyperlinks>
  <pageMargins left="0.78740157480314965" right="0.39370078740157483" top="0.59055118110236227" bottom="0.39370078740157483" header="0.27559055118110237" footer="0.27559055118110237"/>
  <pageSetup paperSize="9" scale="83" orientation="portrait" r:id="rId2"/>
  <headerFooter alignWithMargins="0">
    <oddHeader>&amp;L&amp;"Arial,обычный"&amp;6Подготовлено с использованием системы ГАРАНТ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CFFFF"/>
    <pageSetUpPr fitToPage="1"/>
  </sheetPr>
  <dimension ref="A1:N183"/>
  <sheetViews>
    <sheetView view="pageBreakPreview" zoomScale="120" zoomScaleNormal="100" zoomScaleSheetLayoutView="120" workbookViewId="0">
      <selection activeCell="F166" sqref="F166"/>
    </sheetView>
  </sheetViews>
  <sheetFormatPr defaultColWidth="1.42578125" defaultRowHeight="15.75" outlineLevelCol="1" x14ac:dyDescent="0.25"/>
  <cols>
    <col min="1" max="1" width="6.85546875" style="1" customWidth="1"/>
    <col min="2" max="2" width="43.140625" style="1" customWidth="1"/>
    <col min="3" max="3" width="13.28515625" style="11" customWidth="1"/>
    <col min="4" max="5" width="20.7109375" style="229" customWidth="1"/>
    <col min="6" max="6" width="20.7109375" style="248" customWidth="1"/>
    <col min="7" max="7" width="20.7109375" style="57" customWidth="1"/>
    <col min="8" max="8" width="20.7109375" style="1" customWidth="1" outlineLevel="1"/>
    <col min="9" max="10" width="10.7109375" style="1" customWidth="1" outlineLevel="1"/>
    <col min="11" max="57" width="10.7109375" style="1" customWidth="1"/>
    <col min="58" max="16384" width="1.42578125" style="1"/>
  </cols>
  <sheetData>
    <row r="1" spans="1:11" s="5" customFormat="1" ht="16.5" x14ac:dyDescent="0.25">
      <c r="A1" s="263" t="s">
        <v>20</v>
      </c>
      <c r="B1" s="263"/>
      <c r="C1" s="263"/>
      <c r="D1" s="263"/>
      <c r="E1" s="263"/>
      <c r="F1" s="263"/>
      <c r="G1" s="60"/>
      <c r="H1" s="26"/>
    </row>
    <row r="3" spans="1:11" s="6" customFormat="1" ht="63.75" x14ac:dyDescent="0.2">
      <c r="A3" s="262" t="s">
        <v>167</v>
      </c>
      <c r="B3" s="262"/>
      <c r="C3" s="12" t="s">
        <v>186</v>
      </c>
      <c r="D3" s="12" t="s">
        <v>258</v>
      </c>
      <c r="E3" s="12" t="s">
        <v>259</v>
      </c>
      <c r="F3" s="12" t="s">
        <v>260</v>
      </c>
      <c r="G3" s="61"/>
      <c r="H3" s="27"/>
    </row>
    <row r="4" spans="1:11" s="6" customFormat="1" ht="30.75" customHeight="1" x14ac:dyDescent="0.2">
      <c r="A4" s="264" t="s">
        <v>155</v>
      </c>
      <c r="B4" s="264"/>
      <c r="C4" s="264"/>
      <c r="D4" s="264"/>
      <c r="E4" s="264"/>
      <c r="F4" s="264"/>
      <c r="G4" s="62"/>
      <c r="H4" s="28"/>
    </row>
    <row r="5" spans="1:11" s="6" customFormat="1" ht="25.5" x14ac:dyDescent="0.2">
      <c r="A5" s="223" t="s">
        <v>21</v>
      </c>
      <c r="B5" s="14" t="s">
        <v>156</v>
      </c>
      <c r="C5" s="15"/>
      <c r="D5" s="16"/>
      <c r="E5" s="16"/>
      <c r="F5" s="243"/>
      <c r="G5" s="8"/>
      <c r="H5" s="8"/>
    </row>
    <row r="6" spans="1:11" s="6" customFormat="1" ht="12.75" x14ac:dyDescent="0.2">
      <c r="A6" s="223" t="s">
        <v>22</v>
      </c>
      <c r="B6" s="14" t="s">
        <v>23</v>
      </c>
      <c r="C6" s="15" t="s">
        <v>24</v>
      </c>
      <c r="D6" s="224">
        <v>21543661.8691171</v>
      </c>
      <c r="E6" s="224">
        <v>18695406.284639999</v>
      </c>
      <c r="F6" s="224">
        <v>24469205.483761702</v>
      </c>
      <c r="G6" s="59"/>
      <c r="H6" s="29"/>
    </row>
    <row r="7" spans="1:11" s="6" customFormat="1" ht="12.75" x14ac:dyDescent="0.2">
      <c r="A7" s="223" t="s">
        <v>25</v>
      </c>
      <c r="B7" s="14" t="s">
        <v>157</v>
      </c>
      <c r="C7" s="15" t="s">
        <v>24</v>
      </c>
      <c r="D7" s="224">
        <v>-1147336.3248849399</v>
      </c>
      <c r="E7" s="224">
        <v>-3855152.4521616702</v>
      </c>
      <c r="F7" s="224">
        <v>224679.79283846999</v>
      </c>
      <c r="G7" s="59"/>
      <c r="H7" s="29"/>
    </row>
    <row r="8" spans="1:11" s="6" customFormat="1" ht="25.5" x14ac:dyDescent="0.2">
      <c r="A8" s="223" t="s">
        <v>26</v>
      </c>
      <c r="B8" s="14" t="s">
        <v>158</v>
      </c>
      <c r="C8" s="15" t="s">
        <v>24</v>
      </c>
      <c r="D8" s="224">
        <v>1446620</v>
      </c>
      <c r="E8" s="224">
        <v>-432171</v>
      </c>
      <c r="F8" s="224">
        <v>3657741</v>
      </c>
      <c r="G8" s="59"/>
      <c r="H8" s="29"/>
    </row>
    <row r="9" spans="1:11" s="6" customFormat="1" ht="12.75" x14ac:dyDescent="0.2">
      <c r="A9" s="223" t="s">
        <v>27</v>
      </c>
      <c r="B9" s="14" t="s">
        <v>28</v>
      </c>
      <c r="C9" s="15" t="s">
        <v>24</v>
      </c>
      <c r="D9" s="224">
        <v>-9086827.5604144894</v>
      </c>
      <c r="E9" s="224">
        <v>-4189374.0839837799</v>
      </c>
      <c r="F9" s="224">
        <v>-284647.12061657</v>
      </c>
      <c r="G9" s="59"/>
      <c r="H9" s="29"/>
    </row>
    <row r="10" spans="1:11" s="6" customFormat="1" ht="12.75" x14ac:dyDescent="0.2">
      <c r="A10" s="223" t="s">
        <v>29</v>
      </c>
      <c r="B10" s="14" t="s">
        <v>159</v>
      </c>
      <c r="C10" s="15"/>
      <c r="D10" s="16"/>
      <c r="E10" s="16"/>
      <c r="F10" s="243"/>
      <c r="G10" s="8"/>
      <c r="H10" s="8"/>
    </row>
    <row r="11" spans="1:11" s="6" customFormat="1" ht="63.75" x14ac:dyDescent="0.2">
      <c r="A11" s="223" t="s">
        <v>30</v>
      </c>
      <c r="B11" s="14" t="s">
        <v>160</v>
      </c>
      <c r="C11" s="15" t="s">
        <v>31</v>
      </c>
      <c r="D11" s="22">
        <v>-5.325632809571941E-2</v>
      </c>
      <c r="E11" s="22">
        <v>-0.20620854093601773</v>
      </c>
      <c r="F11" s="22">
        <v>9.1821450021159212E-3</v>
      </c>
      <c r="G11" s="63"/>
      <c r="H11" s="30"/>
    </row>
    <row r="12" spans="1:11" s="6" customFormat="1" ht="25.5" x14ac:dyDescent="0.2">
      <c r="A12" s="223" t="s">
        <v>32</v>
      </c>
      <c r="B12" s="14" t="s">
        <v>161</v>
      </c>
      <c r="C12" s="15"/>
      <c r="D12" s="16"/>
      <c r="E12" s="16"/>
      <c r="F12" s="243"/>
      <c r="G12" s="8"/>
      <c r="H12" s="8"/>
    </row>
    <row r="13" spans="1:11" s="6" customFormat="1" ht="25.5" x14ac:dyDescent="0.2">
      <c r="A13" s="223" t="s">
        <v>33</v>
      </c>
      <c r="B13" s="14" t="s">
        <v>162</v>
      </c>
      <c r="C13" s="15" t="s">
        <v>34</v>
      </c>
      <c r="D13" s="16"/>
      <c r="E13" s="16"/>
      <c r="F13" s="243"/>
      <c r="G13" s="8"/>
      <c r="H13" s="235"/>
      <c r="I13" s="237"/>
      <c r="J13" s="237"/>
      <c r="K13" s="237"/>
    </row>
    <row r="14" spans="1:11" s="6" customFormat="1" ht="25.5" x14ac:dyDescent="0.2">
      <c r="A14" s="223" t="s">
        <v>35</v>
      </c>
      <c r="B14" s="14" t="s">
        <v>163</v>
      </c>
      <c r="C14" s="15" t="s">
        <v>36</v>
      </c>
      <c r="D14" s="16"/>
      <c r="E14" s="16"/>
      <c r="F14" s="243"/>
      <c r="G14" s="8"/>
      <c r="H14" s="8"/>
    </row>
    <row r="15" spans="1:11" s="6" customFormat="1" ht="12.75" x14ac:dyDescent="0.2">
      <c r="A15" s="223" t="s">
        <v>37</v>
      </c>
      <c r="B15" s="14" t="s">
        <v>164</v>
      </c>
      <c r="C15" s="15" t="s">
        <v>34</v>
      </c>
      <c r="D15" s="34">
        <v>94.798000000000002</v>
      </c>
      <c r="E15" s="34">
        <v>94.549000000000007</v>
      </c>
      <c r="F15" s="244">
        <v>100.3</v>
      </c>
      <c r="G15" s="222"/>
      <c r="H15" s="10"/>
    </row>
    <row r="16" spans="1:11" s="6" customFormat="1" ht="25.5" x14ac:dyDescent="0.2">
      <c r="A16" s="13" t="s">
        <v>38</v>
      </c>
      <c r="B16" s="14" t="s">
        <v>165</v>
      </c>
      <c r="C16" s="15" t="s">
        <v>40</v>
      </c>
      <c r="D16" s="224">
        <v>439387.47899999999</v>
      </c>
      <c r="E16" s="224">
        <v>433646</v>
      </c>
      <c r="F16" s="58">
        <v>464702.00000000006</v>
      </c>
      <c r="G16" s="226"/>
      <c r="H16" s="238"/>
      <c r="I16" s="237"/>
    </row>
    <row r="17" spans="1:13" s="6" customFormat="1" ht="38.25" x14ac:dyDescent="0.2">
      <c r="A17" s="13" t="s">
        <v>39</v>
      </c>
      <c r="B17" s="14" t="s">
        <v>166</v>
      </c>
      <c r="C17" s="15" t="s">
        <v>40</v>
      </c>
      <c r="D17" s="224">
        <v>34682</v>
      </c>
      <c r="E17" s="224">
        <v>33485.4</v>
      </c>
      <c r="F17" s="58">
        <v>34165</v>
      </c>
      <c r="G17" s="226"/>
      <c r="H17" s="238"/>
      <c r="I17" s="237"/>
    </row>
    <row r="18" spans="1:13" s="6" customFormat="1" ht="12.75" x14ac:dyDescent="0.2">
      <c r="A18" s="13" t="s">
        <v>41</v>
      </c>
      <c r="B18" s="14" t="s">
        <v>168</v>
      </c>
      <c r="C18" s="15" t="s">
        <v>31</v>
      </c>
      <c r="D18" s="22">
        <v>0.10681597077212</v>
      </c>
      <c r="E18" s="22">
        <v>9.5810795139632601E-2</v>
      </c>
      <c r="F18" s="246">
        <v>9.8630147762461498E-2</v>
      </c>
      <c r="G18" s="63"/>
      <c r="H18" s="238"/>
      <c r="I18" s="237"/>
    </row>
    <row r="19" spans="1:13" s="6" customFormat="1" ht="25.5" x14ac:dyDescent="0.2">
      <c r="A19" s="13" t="s">
        <v>42</v>
      </c>
      <c r="B19" s="14" t="s">
        <v>169</v>
      </c>
      <c r="C19" s="15"/>
      <c r="D19" s="266" t="s">
        <v>372</v>
      </c>
      <c r="E19" s="267"/>
      <c r="F19" s="268"/>
      <c r="G19" s="8"/>
      <c r="H19" s="235"/>
      <c r="I19" s="237"/>
    </row>
    <row r="20" spans="1:13" s="6" customFormat="1" ht="42" customHeight="1" x14ac:dyDescent="0.2">
      <c r="A20" s="13" t="s">
        <v>43</v>
      </c>
      <c r="B20" s="14" t="s">
        <v>170</v>
      </c>
      <c r="C20" s="15" t="s">
        <v>36</v>
      </c>
      <c r="D20" s="223" t="s">
        <v>261</v>
      </c>
      <c r="E20" s="223" t="s">
        <v>261</v>
      </c>
      <c r="F20" s="223" t="s">
        <v>261</v>
      </c>
      <c r="G20" s="64"/>
      <c r="H20" s="239"/>
      <c r="I20" s="237"/>
    </row>
    <row r="21" spans="1:13" s="6" customFormat="1" ht="31.5" customHeight="1" x14ac:dyDescent="0.2">
      <c r="A21" s="13" t="s">
        <v>44</v>
      </c>
      <c r="B21" s="14" t="s">
        <v>171</v>
      </c>
      <c r="C21" s="15"/>
      <c r="D21" s="224">
        <v>923638.56103711913</v>
      </c>
      <c r="E21" s="224">
        <v>1120031.3039505209</v>
      </c>
      <c r="F21" s="224">
        <v>5704104.3637978835</v>
      </c>
      <c r="G21" s="59"/>
      <c r="H21" s="238"/>
      <c r="I21" s="237"/>
    </row>
    <row r="22" spans="1:13" s="6" customFormat="1" ht="51" x14ac:dyDescent="0.2">
      <c r="A22" s="13" t="s">
        <v>45</v>
      </c>
      <c r="B22" s="14" t="s">
        <v>262</v>
      </c>
      <c r="C22" s="15" t="s">
        <v>24</v>
      </c>
      <c r="D22" s="224">
        <v>783522.28784</v>
      </c>
      <c r="E22" s="224">
        <v>606267.06772978778</v>
      </c>
      <c r="F22" s="224">
        <v>950248.21085552173</v>
      </c>
      <c r="G22" s="59"/>
      <c r="H22" s="238"/>
      <c r="I22" s="240"/>
    </row>
    <row r="23" spans="1:13" s="6" customFormat="1" ht="12.75" x14ac:dyDescent="0.2">
      <c r="A23" s="13"/>
      <c r="B23" s="17" t="s">
        <v>46</v>
      </c>
      <c r="C23" s="15" t="s">
        <v>24</v>
      </c>
      <c r="D23" s="224">
        <v>629164.91275999998</v>
      </c>
      <c r="E23" s="224">
        <v>497065.55284891656</v>
      </c>
      <c r="F23" s="224">
        <v>779088.42062177288</v>
      </c>
      <c r="G23" s="59"/>
      <c r="H23" s="238"/>
      <c r="I23" s="237"/>
    </row>
    <row r="24" spans="1:13" s="6" customFormat="1" ht="12.75" x14ac:dyDescent="0.2">
      <c r="A24" s="13"/>
      <c r="B24" s="17" t="s">
        <v>47</v>
      </c>
      <c r="C24" s="15" t="s">
        <v>24</v>
      </c>
      <c r="D24" s="224">
        <v>23268.953819999999</v>
      </c>
      <c r="E24" s="224">
        <v>26553.670253891636</v>
      </c>
      <c r="F24" s="224">
        <v>41619.574925771973</v>
      </c>
      <c r="G24" s="59"/>
      <c r="H24" s="238"/>
      <c r="I24" s="237"/>
    </row>
    <row r="25" spans="1:13" s="6" customFormat="1" ht="12.75" x14ac:dyDescent="0.2">
      <c r="A25" s="13"/>
      <c r="B25" s="17" t="s">
        <v>48</v>
      </c>
      <c r="C25" s="15" t="s">
        <v>24</v>
      </c>
      <c r="D25" s="224">
        <v>78821.878219999999</v>
      </c>
      <c r="E25" s="224">
        <v>52952.213664553572</v>
      </c>
      <c r="F25" s="224">
        <v>82996.00782209709</v>
      </c>
      <c r="G25" s="59"/>
      <c r="H25" s="29"/>
    </row>
    <row r="26" spans="1:13" s="6" customFormat="1" ht="38.25" x14ac:dyDescent="0.2">
      <c r="A26" s="13" t="s">
        <v>49</v>
      </c>
      <c r="B26" s="14" t="s">
        <v>172</v>
      </c>
      <c r="C26" s="15" t="s">
        <v>24</v>
      </c>
      <c r="D26" s="224">
        <v>140116.27319711912</v>
      </c>
      <c r="E26" s="224">
        <v>513764.2362207332</v>
      </c>
      <c r="F26" s="224">
        <v>4753856.1529423613</v>
      </c>
      <c r="G26" s="59"/>
      <c r="H26" s="29"/>
    </row>
    <row r="27" spans="1:13" s="6" customFormat="1" ht="25.5" x14ac:dyDescent="0.2">
      <c r="A27" s="13" t="s">
        <v>50</v>
      </c>
      <c r="B27" s="14" t="s">
        <v>173</v>
      </c>
      <c r="C27" s="15" t="s">
        <v>24</v>
      </c>
      <c r="D27" s="224">
        <v>0</v>
      </c>
      <c r="E27" s="224">
        <v>0</v>
      </c>
      <c r="F27" s="224">
        <v>0</v>
      </c>
      <c r="G27" s="59"/>
      <c r="H27" s="238"/>
      <c r="I27" s="237"/>
      <c r="J27" s="237"/>
      <c r="K27" s="237"/>
      <c r="L27" s="237"/>
      <c r="M27" s="237"/>
    </row>
    <row r="28" spans="1:13" s="6" customFormat="1" ht="25.5" x14ac:dyDescent="0.2">
      <c r="A28" s="13" t="s">
        <v>51</v>
      </c>
      <c r="B28" s="14" t="s">
        <v>174</v>
      </c>
      <c r="C28" s="15" t="s">
        <v>24</v>
      </c>
      <c r="D28" s="224">
        <v>0</v>
      </c>
      <c r="E28" s="224">
        <v>0</v>
      </c>
      <c r="F28" s="224">
        <v>0</v>
      </c>
      <c r="G28" s="59"/>
      <c r="H28" s="238"/>
      <c r="I28" s="237"/>
      <c r="J28" s="237"/>
      <c r="K28" s="237"/>
      <c r="L28" s="237"/>
      <c r="M28" s="237"/>
    </row>
    <row r="29" spans="1:13" s="6" customFormat="1" ht="25.5" x14ac:dyDescent="0.2">
      <c r="A29" s="13" t="s">
        <v>52</v>
      </c>
      <c r="B29" s="14" t="s">
        <v>175</v>
      </c>
      <c r="C29" s="15"/>
      <c r="D29" s="271" t="s">
        <v>371</v>
      </c>
      <c r="E29" s="272"/>
      <c r="F29" s="273"/>
      <c r="G29" s="8"/>
      <c r="H29" s="7"/>
    </row>
    <row r="30" spans="1:13" s="6" customFormat="1" ht="12.75" x14ac:dyDescent="0.2">
      <c r="A30" s="13" t="s">
        <v>53</v>
      </c>
      <c r="B30" s="14" t="s">
        <v>176</v>
      </c>
      <c r="C30" s="15" t="s">
        <v>177</v>
      </c>
      <c r="D30" s="34">
        <v>10343.496999999999</v>
      </c>
      <c r="E30" s="34">
        <v>7677.74</v>
      </c>
      <c r="F30" s="34">
        <v>11185.404</v>
      </c>
      <c r="G30" s="8"/>
      <c r="H30" s="7"/>
    </row>
    <row r="31" spans="1:13" s="6" customFormat="1" ht="25.5" x14ac:dyDescent="0.2">
      <c r="A31" s="13" t="s">
        <v>54</v>
      </c>
      <c r="B31" s="14" t="s">
        <v>178</v>
      </c>
      <c r="C31" s="15" t="s">
        <v>179</v>
      </c>
      <c r="D31" s="215">
        <v>75.750231071754556</v>
      </c>
      <c r="E31" s="215">
        <v>78.964261322965854</v>
      </c>
      <c r="F31" s="215">
        <v>84.954303917455434</v>
      </c>
      <c r="G31" s="65"/>
      <c r="H31" s="31"/>
    </row>
    <row r="32" spans="1:13" s="6" customFormat="1" ht="25.5" x14ac:dyDescent="0.2">
      <c r="A32" s="13" t="s">
        <v>55</v>
      </c>
      <c r="B32" s="14" t="s">
        <v>180</v>
      </c>
      <c r="C32" s="15"/>
      <c r="D32" s="16"/>
      <c r="E32" s="16"/>
      <c r="F32" s="243"/>
      <c r="G32" s="8"/>
      <c r="H32" s="8"/>
    </row>
    <row r="33" spans="1:14" s="6" customFormat="1" ht="12.75" x14ac:dyDescent="0.2">
      <c r="A33" s="13" t="s">
        <v>56</v>
      </c>
      <c r="B33" s="14" t="s">
        <v>181</v>
      </c>
      <c r="C33" s="15" t="s">
        <v>61</v>
      </c>
      <c r="D33" s="216">
        <v>246</v>
      </c>
      <c r="E33" s="216">
        <v>261</v>
      </c>
      <c r="F33" s="216">
        <v>261</v>
      </c>
      <c r="G33" s="64"/>
      <c r="H33" s="9"/>
      <c r="I33" s="24"/>
      <c r="J33" s="24"/>
      <c r="K33" s="24"/>
      <c r="N33" s="23"/>
    </row>
    <row r="34" spans="1:14" s="6" customFormat="1" ht="25.5" x14ac:dyDescent="0.2">
      <c r="A34" s="13" t="s">
        <v>57</v>
      </c>
      <c r="B34" s="14" t="s">
        <v>182</v>
      </c>
      <c r="C34" s="15" t="s">
        <v>187</v>
      </c>
      <c r="D34" s="215">
        <v>203.53348553324</v>
      </c>
      <c r="E34" s="215">
        <v>154.409001286147</v>
      </c>
      <c r="F34" s="215">
        <v>238.00472642967401</v>
      </c>
      <c r="G34" s="59"/>
      <c r="H34" s="29"/>
      <c r="I34" s="24"/>
      <c r="J34" s="24"/>
      <c r="K34" s="24"/>
    </row>
    <row r="35" spans="1:14" s="6" customFormat="1" ht="25.5" x14ac:dyDescent="0.2">
      <c r="A35" s="13" t="s">
        <v>58</v>
      </c>
      <c r="B35" s="14" t="s">
        <v>183</v>
      </c>
      <c r="C35" s="15"/>
      <c r="D35" s="217" t="s">
        <v>376</v>
      </c>
      <c r="E35" s="269" t="s">
        <v>370</v>
      </c>
      <c r="F35" s="270"/>
      <c r="G35" s="8"/>
      <c r="H35" s="8"/>
      <c r="I35" s="25"/>
      <c r="J35" s="25"/>
      <c r="K35" s="25"/>
    </row>
    <row r="36" spans="1:14" s="6" customFormat="1" ht="25.5" x14ac:dyDescent="0.2">
      <c r="A36" s="13" t="s">
        <v>59</v>
      </c>
      <c r="B36" s="14" t="s">
        <v>184</v>
      </c>
      <c r="C36" s="15" t="s">
        <v>24</v>
      </c>
      <c r="D36" s="224">
        <v>19126211</v>
      </c>
      <c r="E36" s="224">
        <v>19126211</v>
      </c>
      <c r="F36" s="224">
        <v>19126211</v>
      </c>
      <c r="G36" s="8"/>
      <c r="H36" s="8"/>
    </row>
    <row r="37" spans="1:14" s="6" customFormat="1" ht="38.25" x14ac:dyDescent="0.2">
      <c r="A37" s="13" t="s">
        <v>60</v>
      </c>
      <c r="B37" s="14" t="s">
        <v>185</v>
      </c>
      <c r="C37" s="15" t="s">
        <v>24</v>
      </c>
      <c r="D37" s="223" t="s">
        <v>261</v>
      </c>
      <c r="E37" s="223" t="s">
        <v>261</v>
      </c>
      <c r="F37" s="223" t="s">
        <v>261</v>
      </c>
      <c r="G37" s="64"/>
      <c r="H37" s="9"/>
    </row>
    <row r="38" spans="1:14" s="6" customFormat="1" ht="12.75" x14ac:dyDescent="0.2">
      <c r="A38" s="265" t="s">
        <v>62</v>
      </c>
      <c r="B38" s="265"/>
      <c r="C38" s="265"/>
      <c r="D38" s="265"/>
      <c r="E38" s="265"/>
      <c r="F38" s="265"/>
      <c r="G38" s="66"/>
      <c r="H38" s="32"/>
    </row>
    <row r="39" spans="1:14" s="6" customFormat="1" ht="25.5" x14ac:dyDescent="0.2">
      <c r="A39" s="13" t="s">
        <v>21</v>
      </c>
      <c r="B39" s="14" t="s">
        <v>188</v>
      </c>
      <c r="C39" s="15"/>
      <c r="D39" s="224">
        <v>439387</v>
      </c>
      <c r="E39" s="224">
        <v>433646.4</v>
      </c>
      <c r="F39" s="58">
        <v>464702</v>
      </c>
      <c r="G39" s="221"/>
      <c r="H39" s="8"/>
      <c r="I39" s="24"/>
      <c r="J39" s="24"/>
      <c r="K39" s="24"/>
    </row>
    <row r="40" spans="1:14" s="6" customFormat="1" ht="25.5" x14ac:dyDescent="0.2">
      <c r="A40" s="13" t="s">
        <v>22</v>
      </c>
      <c r="B40" s="14" t="s">
        <v>189</v>
      </c>
      <c r="C40" s="15" t="s">
        <v>40</v>
      </c>
      <c r="D40" s="224">
        <v>34682</v>
      </c>
      <c r="E40" s="224">
        <v>33485.4</v>
      </c>
      <c r="F40" s="58">
        <v>34165</v>
      </c>
      <c r="G40" s="8"/>
      <c r="H40" s="8"/>
      <c r="I40" s="24"/>
      <c r="J40" s="24"/>
      <c r="K40" s="24"/>
    </row>
    <row r="41" spans="1:14" s="6" customFormat="1" ht="12.75" x14ac:dyDescent="0.2">
      <c r="A41" s="13" t="s">
        <v>65</v>
      </c>
      <c r="B41" s="14" t="s">
        <v>190</v>
      </c>
      <c r="C41" s="15" t="s">
        <v>40</v>
      </c>
      <c r="D41" s="224">
        <v>34682</v>
      </c>
      <c r="E41" s="224">
        <v>33485.4</v>
      </c>
      <c r="F41" s="58">
        <v>34165</v>
      </c>
      <c r="G41" s="8"/>
      <c r="H41" s="235"/>
      <c r="I41" s="236"/>
      <c r="J41" s="236"/>
      <c r="K41" s="236"/>
      <c r="L41" s="237"/>
      <c r="M41" s="237"/>
    </row>
    <row r="42" spans="1:14" s="6" customFormat="1" ht="25.5" x14ac:dyDescent="0.2">
      <c r="A42" s="13"/>
      <c r="B42" s="17" t="s">
        <v>377</v>
      </c>
      <c r="C42" s="15" t="s">
        <v>40</v>
      </c>
      <c r="D42" s="224">
        <v>17856</v>
      </c>
      <c r="E42" s="224">
        <v>16718.2</v>
      </c>
      <c r="F42" s="58">
        <v>25351</v>
      </c>
      <c r="G42" s="8"/>
      <c r="H42" s="235"/>
      <c r="I42" s="237"/>
      <c r="J42" s="237"/>
      <c r="K42" s="237"/>
      <c r="L42" s="237"/>
      <c r="M42" s="237"/>
    </row>
    <row r="43" spans="1:14" s="6" customFormat="1" ht="25.5" x14ac:dyDescent="0.2">
      <c r="A43" s="13"/>
      <c r="B43" s="17" t="s">
        <v>378</v>
      </c>
      <c r="C43" s="15" t="s">
        <v>40</v>
      </c>
      <c r="D43" s="224">
        <v>16826</v>
      </c>
      <c r="E43" s="224">
        <v>16767.2</v>
      </c>
      <c r="F43" s="58">
        <v>8814</v>
      </c>
      <c r="G43" s="8"/>
      <c r="H43" s="8"/>
    </row>
    <row r="44" spans="1:14" s="6" customFormat="1" ht="12.75" x14ac:dyDescent="0.2">
      <c r="A44" s="13" t="s">
        <v>67</v>
      </c>
      <c r="B44" s="14" t="s">
        <v>66</v>
      </c>
      <c r="C44" s="15" t="s">
        <v>40</v>
      </c>
      <c r="D44" s="224">
        <v>0</v>
      </c>
      <c r="E44" s="224">
        <v>0</v>
      </c>
      <c r="F44" s="58">
        <v>0</v>
      </c>
      <c r="G44" s="8"/>
      <c r="H44" s="8"/>
      <c r="I44" s="24"/>
      <c r="J44" s="24"/>
      <c r="K44" s="24"/>
    </row>
    <row r="45" spans="1:14" s="6" customFormat="1" ht="25.5" x14ac:dyDescent="0.2">
      <c r="A45" s="13"/>
      <c r="B45" s="17" t="s">
        <v>377</v>
      </c>
      <c r="C45" s="15" t="s">
        <v>40</v>
      </c>
      <c r="D45" s="224">
        <v>0</v>
      </c>
      <c r="E45" s="224">
        <v>0</v>
      </c>
      <c r="F45" s="58">
        <v>0</v>
      </c>
      <c r="G45" s="8"/>
      <c r="H45" s="8"/>
    </row>
    <row r="46" spans="1:14" s="6" customFormat="1" ht="25.5" x14ac:dyDescent="0.2">
      <c r="A46" s="13"/>
      <c r="B46" s="17" t="s">
        <v>378</v>
      </c>
      <c r="C46" s="15" t="s">
        <v>40</v>
      </c>
      <c r="D46" s="224">
        <v>0</v>
      </c>
      <c r="E46" s="224">
        <v>0</v>
      </c>
      <c r="F46" s="58">
        <v>0</v>
      </c>
      <c r="G46" s="8"/>
      <c r="H46" s="8"/>
    </row>
    <row r="47" spans="1:14" s="6" customFormat="1" ht="12.75" x14ac:dyDescent="0.2">
      <c r="A47" s="13"/>
      <c r="B47" s="14" t="s">
        <v>191</v>
      </c>
      <c r="C47" s="15"/>
      <c r="D47" s="224"/>
      <c r="E47" s="224"/>
      <c r="F47" s="58"/>
      <c r="G47" s="8"/>
      <c r="H47" s="8"/>
    </row>
    <row r="48" spans="1:14" s="6" customFormat="1" ht="63.75" x14ac:dyDescent="0.2">
      <c r="A48" s="13" t="s">
        <v>68</v>
      </c>
      <c r="B48" s="14" t="s">
        <v>192</v>
      </c>
      <c r="C48" s="15" t="s">
        <v>40</v>
      </c>
      <c r="D48" s="224">
        <v>0</v>
      </c>
      <c r="E48" s="224">
        <v>0</v>
      </c>
      <c r="F48" s="58">
        <v>0</v>
      </c>
      <c r="G48" s="8"/>
      <c r="H48" s="8"/>
    </row>
    <row r="49" spans="1:8" s="6" customFormat="1" ht="12.75" x14ac:dyDescent="0.2">
      <c r="A49" s="13" t="s">
        <v>69</v>
      </c>
      <c r="B49" s="14" t="s">
        <v>190</v>
      </c>
      <c r="C49" s="15" t="s">
        <v>40</v>
      </c>
      <c r="D49" s="224">
        <v>0</v>
      </c>
      <c r="E49" s="224">
        <v>0</v>
      </c>
      <c r="F49" s="58">
        <v>0</v>
      </c>
      <c r="G49" s="8"/>
      <c r="H49" s="8"/>
    </row>
    <row r="50" spans="1:8" s="6" customFormat="1" ht="25.5" x14ac:dyDescent="0.2">
      <c r="A50" s="13"/>
      <c r="B50" s="17" t="s">
        <v>377</v>
      </c>
      <c r="C50" s="15" t="s">
        <v>40</v>
      </c>
      <c r="D50" s="224"/>
      <c r="E50" s="224"/>
      <c r="F50" s="58"/>
      <c r="G50" s="8"/>
      <c r="H50" s="8"/>
    </row>
    <row r="51" spans="1:8" s="6" customFormat="1" ht="25.5" x14ac:dyDescent="0.2">
      <c r="A51" s="13"/>
      <c r="B51" s="17" t="s">
        <v>378</v>
      </c>
      <c r="C51" s="15" t="s">
        <v>40</v>
      </c>
      <c r="D51" s="224"/>
      <c r="E51" s="224"/>
      <c r="F51" s="58"/>
      <c r="G51" s="8"/>
      <c r="H51" s="8"/>
    </row>
    <row r="52" spans="1:8" s="6" customFormat="1" ht="12.75" x14ac:dyDescent="0.2">
      <c r="A52" s="13" t="s">
        <v>70</v>
      </c>
      <c r="B52" s="14" t="s">
        <v>66</v>
      </c>
      <c r="C52" s="15" t="s">
        <v>40</v>
      </c>
      <c r="D52" s="224">
        <v>0</v>
      </c>
      <c r="E52" s="224">
        <v>0</v>
      </c>
      <c r="F52" s="58">
        <v>0</v>
      </c>
      <c r="G52" s="8"/>
      <c r="H52" s="8"/>
    </row>
    <row r="53" spans="1:8" s="6" customFormat="1" ht="25.5" x14ac:dyDescent="0.2">
      <c r="A53" s="13"/>
      <c r="B53" s="17" t="s">
        <v>377</v>
      </c>
      <c r="C53" s="15" t="s">
        <v>40</v>
      </c>
      <c r="D53" s="224"/>
      <c r="E53" s="224"/>
      <c r="F53" s="58"/>
      <c r="G53" s="8"/>
      <c r="H53" s="8"/>
    </row>
    <row r="54" spans="1:8" s="6" customFormat="1" ht="25.5" x14ac:dyDescent="0.2">
      <c r="A54" s="13"/>
      <c r="B54" s="17" t="s">
        <v>378</v>
      </c>
      <c r="C54" s="15" t="s">
        <v>40</v>
      </c>
      <c r="D54" s="224"/>
      <c r="E54" s="224"/>
      <c r="F54" s="58"/>
      <c r="G54" s="8"/>
      <c r="H54" s="8"/>
    </row>
    <row r="55" spans="1:8" s="6" customFormat="1" ht="38.25" x14ac:dyDescent="0.2">
      <c r="A55" s="13" t="s">
        <v>71</v>
      </c>
      <c r="B55" s="14" t="s">
        <v>193</v>
      </c>
      <c r="C55" s="15" t="s">
        <v>40</v>
      </c>
      <c r="D55" s="224">
        <v>0</v>
      </c>
      <c r="E55" s="224">
        <v>0</v>
      </c>
      <c r="F55" s="58">
        <v>0</v>
      </c>
      <c r="G55" s="8"/>
      <c r="H55" s="8"/>
    </row>
    <row r="56" spans="1:8" s="6" customFormat="1" ht="12.75" x14ac:dyDescent="0.2">
      <c r="A56" s="13" t="s">
        <v>72</v>
      </c>
      <c r="B56" s="14" t="s">
        <v>190</v>
      </c>
      <c r="C56" s="15" t="s">
        <v>40</v>
      </c>
      <c r="D56" s="224">
        <v>0</v>
      </c>
      <c r="E56" s="224">
        <v>0</v>
      </c>
      <c r="F56" s="58">
        <v>0</v>
      </c>
      <c r="G56" s="8"/>
      <c r="H56" s="8"/>
    </row>
    <row r="57" spans="1:8" s="6" customFormat="1" ht="25.5" x14ac:dyDescent="0.2">
      <c r="A57" s="13"/>
      <c r="B57" s="17" t="s">
        <v>377</v>
      </c>
      <c r="C57" s="15" t="s">
        <v>40</v>
      </c>
      <c r="D57" s="224"/>
      <c r="E57" s="224"/>
      <c r="F57" s="58"/>
      <c r="G57" s="8"/>
      <c r="H57" s="8"/>
    </row>
    <row r="58" spans="1:8" s="6" customFormat="1" ht="25.5" x14ac:dyDescent="0.2">
      <c r="A58" s="13"/>
      <c r="B58" s="17" t="s">
        <v>378</v>
      </c>
      <c r="C58" s="15" t="s">
        <v>40</v>
      </c>
      <c r="D58" s="224"/>
      <c r="E58" s="224"/>
      <c r="F58" s="58"/>
      <c r="G58" s="8"/>
      <c r="H58" s="8"/>
    </row>
    <row r="59" spans="1:8" s="6" customFormat="1" ht="12.75" x14ac:dyDescent="0.2">
      <c r="A59" s="13" t="s">
        <v>73</v>
      </c>
      <c r="B59" s="14" t="s">
        <v>66</v>
      </c>
      <c r="C59" s="15" t="s">
        <v>40</v>
      </c>
      <c r="D59" s="224">
        <v>0</v>
      </c>
      <c r="E59" s="224">
        <v>0</v>
      </c>
      <c r="F59" s="58">
        <v>0</v>
      </c>
      <c r="G59" s="8"/>
      <c r="H59" s="8"/>
    </row>
    <row r="60" spans="1:8" s="6" customFormat="1" ht="25.5" x14ac:dyDescent="0.2">
      <c r="A60" s="13"/>
      <c r="B60" s="17" t="s">
        <v>377</v>
      </c>
      <c r="C60" s="15" t="s">
        <v>40</v>
      </c>
      <c r="D60" s="224"/>
      <c r="E60" s="224"/>
      <c r="F60" s="58"/>
      <c r="G60" s="8"/>
      <c r="H60" s="8"/>
    </row>
    <row r="61" spans="1:8" s="6" customFormat="1" ht="25.5" x14ac:dyDescent="0.2">
      <c r="A61" s="13"/>
      <c r="B61" s="17" t="s">
        <v>378</v>
      </c>
      <c r="C61" s="15" t="s">
        <v>40</v>
      </c>
      <c r="D61" s="224"/>
      <c r="E61" s="224"/>
      <c r="F61" s="58"/>
      <c r="G61" s="8"/>
      <c r="H61" s="8"/>
    </row>
    <row r="62" spans="1:8" s="6" customFormat="1" ht="51" x14ac:dyDescent="0.2">
      <c r="A62" s="13" t="s">
        <v>74</v>
      </c>
      <c r="B62" s="14" t="s">
        <v>194</v>
      </c>
      <c r="C62" s="15" t="s">
        <v>40</v>
      </c>
      <c r="D62" s="224">
        <v>0</v>
      </c>
      <c r="E62" s="224">
        <v>0</v>
      </c>
      <c r="F62" s="58">
        <v>0</v>
      </c>
      <c r="G62" s="8"/>
      <c r="H62" s="8"/>
    </row>
    <row r="63" spans="1:8" s="6" customFormat="1" ht="12.75" x14ac:dyDescent="0.2">
      <c r="A63" s="13" t="s">
        <v>75</v>
      </c>
      <c r="B63" s="14" t="s">
        <v>190</v>
      </c>
      <c r="C63" s="15" t="s">
        <v>40</v>
      </c>
      <c r="D63" s="224">
        <v>0</v>
      </c>
      <c r="E63" s="224">
        <v>0</v>
      </c>
      <c r="F63" s="58">
        <v>0</v>
      </c>
      <c r="G63" s="8"/>
      <c r="H63" s="8"/>
    </row>
    <row r="64" spans="1:8" s="6" customFormat="1" ht="25.5" x14ac:dyDescent="0.2">
      <c r="A64" s="13"/>
      <c r="B64" s="17" t="s">
        <v>377</v>
      </c>
      <c r="C64" s="15" t="s">
        <v>40</v>
      </c>
      <c r="D64" s="224"/>
      <c r="E64" s="224"/>
      <c r="F64" s="58"/>
      <c r="G64" s="8"/>
      <c r="H64" s="8"/>
    </row>
    <row r="65" spans="1:8" s="6" customFormat="1" ht="25.5" x14ac:dyDescent="0.2">
      <c r="A65" s="13"/>
      <c r="B65" s="17" t="s">
        <v>378</v>
      </c>
      <c r="C65" s="15" t="s">
        <v>40</v>
      </c>
      <c r="D65" s="224"/>
      <c r="E65" s="224"/>
      <c r="F65" s="58"/>
      <c r="G65" s="8"/>
      <c r="H65" s="8"/>
    </row>
    <row r="66" spans="1:8" s="6" customFormat="1" ht="12.75" x14ac:dyDescent="0.2">
      <c r="A66" s="13" t="s">
        <v>76</v>
      </c>
      <c r="B66" s="14" t="s">
        <v>66</v>
      </c>
      <c r="C66" s="15" t="s">
        <v>40</v>
      </c>
      <c r="D66" s="224">
        <v>0</v>
      </c>
      <c r="E66" s="224">
        <v>0</v>
      </c>
      <c r="F66" s="58">
        <v>0</v>
      </c>
      <c r="G66" s="8"/>
      <c r="H66" s="8"/>
    </row>
    <row r="67" spans="1:8" s="6" customFormat="1" ht="25.5" x14ac:dyDescent="0.2">
      <c r="A67" s="13"/>
      <c r="B67" s="17" t="s">
        <v>377</v>
      </c>
      <c r="C67" s="15" t="s">
        <v>40</v>
      </c>
      <c r="D67" s="224"/>
      <c r="E67" s="224"/>
      <c r="F67" s="58"/>
      <c r="G67" s="8"/>
      <c r="H67" s="8"/>
    </row>
    <row r="68" spans="1:8" s="6" customFormat="1" ht="25.5" x14ac:dyDescent="0.2">
      <c r="A68" s="13"/>
      <c r="B68" s="17" t="s">
        <v>378</v>
      </c>
      <c r="C68" s="15" t="s">
        <v>40</v>
      </c>
      <c r="D68" s="224"/>
      <c r="E68" s="224"/>
      <c r="F68" s="58"/>
      <c r="G68" s="8"/>
      <c r="H68" s="8"/>
    </row>
    <row r="69" spans="1:8" s="6" customFormat="1" ht="51" x14ac:dyDescent="0.2">
      <c r="A69" s="13" t="s">
        <v>77</v>
      </c>
      <c r="B69" s="14" t="s">
        <v>195</v>
      </c>
      <c r="C69" s="15" t="s">
        <v>40</v>
      </c>
      <c r="D69" s="224">
        <v>29832</v>
      </c>
      <c r="E69" s="224">
        <v>29918.400000000001</v>
      </c>
      <c r="F69" s="58">
        <v>29881</v>
      </c>
      <c r="G69" s="8"/>
      <c r="H69" s="8"/>
    </row>
    <row r="70" spans="1:8" s="6" customFormat="1" ht="12.75" x14ac:dyDescent="0.2">
      <c r="A70" s="13" t="s">
        <v>78</v>
      </c>
      <c r="B70" s="14" t="s">
        <v>190</v>
      </c>
      <c r="C70" s="15" t="s">
        <v>40</v>
      </c>
      <c r="D70" s="224">
        <v>29832</v>
      </c>
      <c r="E70" s="224">
        <v>29918.400000000001</v>
      </c>
      <c r="F70" s="58">
        <v>29881</v>
      </c>
      <c r="G70" s="8"/>
      <c r="H70" s="8"/>
    </row>
    <row r="71" spans="1:8" s="6" customFormat="1" ht="25.5" x14ac:dyDescent="0.2">
      <c r="A71" s="13"/>
      <c r="B71" s="17" t="s">
        <v>377</v>
      </c>
      <c r="C71" s="15" t="s">
        <v>40</v>
      </c>
      <c r="D71" s="224">
        <v>15300</v>
      </c>
      <c r="E71" s="224">
        <v>14942.2</v>
      </c>
      <c r="F71" s="58">
        <v>22254</v>
      </c>
      <c r="G71" s="8"/>
      <c r="H71" s="8"/>
    </row>
    <row r="72" spans="1:8" s="6" customFormat="1" ht="25.5" x14ac:dyDescent="0.2">
      <c r="A72" s="13"/>
      <c r="B72" s="17" t="s">
        <v>378</v>
      </c>
      <c r="C72" s="15" t="s">
        <v>40</v>
      </c>
      <c r="D72" s="224">
        <v>14532</v>
      </c>
      <c r="E72" s="224">
        <v>14976.2</v>
      </c>
      <c r="F72" s="58">
        <v>7627</v>
      </c>
      <c r="G72" s="8"/>
      <c r="H72" s="8"/>
    </row>
    <row r="73" spans="1:8" s="6" customFormat="1" ht="12.75" x14ac:dyDescent="0.2">
      <c r="A73" s="13" t="s">
        <v>79</v>
      </c>
      <c r="B73" s="14" t="s">
        <v>66</v>
      </c>
      <c r="C73" s="15" t="s">
        <v>40</v>
      </c>
      <c r="D73" s="224">
        <v>0</v>
      </c>
      <c r="E73" s="224">
        <v>0</v>
      </c>
      <c r="F73" s="58">
        <v>0</v>
      </c>
      <c r="G73" s="8"/>
      <c r="H73" s="8"/>
    </row>
    <row r="74" spans="1:8" s="6" customFormat="1" ht="25.5" x14ac:dyDescent="0.2">
      <c r="A74" s="13"/>
      <c r="B74" s="17" t="s">
        <v>377</v>
      </c>
      <c r="C74" s="15" t="s">
        <v>40</v>
      </c>
      <c r="D74" s="224"/>
      <c r="E74" s="224"/>
      <c r="F74" s="58"/>
      <c r="G74" s="8"/>
      <c r="H74" s="8"/>
    </row>
    <row r="75" spans="1:8" s="6" customFormat="1" ht="25.5" x14ac:dyDescent="0.2">
      <c r="A75" s="13"/>
      <c r="B75" s="17" t="s">
        <v>378</v>
      </c>
      <c r="C75" s="15" t="s">
        <v>40</v>
      </c>
      <c r="D75" s="224"/>
      <c r="E75" s="224"/>
      <c r="F75" s="58"/>
      <c r="G75" s="8"/>
      <c r="H75" s="8"/>
    </row>
    <row r="76" spans="1:8" s="6" customFormat="1" ht="25.5" x14ac:dyDescent="0.2">
      <c r="A76" s="13" t="s">
        <v>80</v>
      </c>
      <c r="B76" s="14" t="s">
        <v>196</v>
      </c>
      <c r="C76" s="15" t="s">
        <v>40</v>
      </c>
      <c r="D76" s="224">
        <v>1481</v>
      </c>
      <c r="E76" s="224">
        <v>1496</v>
      </c>
      <c r="F76" s="58">
        <v>1554</v>
      </c>
      <c r="G76" s="8"/>
      <c r="H76" s="8"/>
    </row>
    <row r="77" spans="1:8" s="6" customFormat="1" ht="12.75" x14ac:dyDescent="0.2">
      <c r="A77" s="13" t="s">
        <v>81</v>
      </c>
      <c r="B77" s="14" t="s">
        <v>190</v>
      </c>
      <c r="C77" s="15" t="s">
        <v>40</v>
      </c>
      <c r="D77" s="224">
        <v>1481</v>
      </c>
      <c r="E77" s="224">
        <v>1496</v>
      </c>
      <c r="F77" s="58">
        <v>1554</v>
      </c>
      <c r="G77" s="8"/>
      <c r="H77" s="8"/>
    </row>
    <row r="78" spans="1:8" s="6" customFormat="1" ht="25.5" x14ac:dyDescent="0.2">
      <c r="A78" s="13"/>
      <c r="B78" s="17" t="s">
        <v>377</v>
      </c>
      <c r="C78" s="15" t="s">
        <v>40</v>
      </c>
      <c r="D78" s="224">
        <v>779</v>
      </c>
      <c r="E78" s="224">
        <v>728</v>
      </c>
      <c r="F78" s="58">
        <v>1172</v>
      </c>
      <c r="G78" s="8"/>
      <c r="H78" s="8"/>
    </row>
    <row r="79" spans="1:8" s="6" customFormat="1" ht="25.5" x14ac:dyDescent="0.2">
      <c r="A79" s="13"/>
      <c r="B79" s="17" t="s">
        <v>378</v>
      </c>
      <c r="C79" s="15" t="s">
        <v>40</v>
      </c>
      <c r="D79" s="224">
        <v>702</v>
      </c>
      <c r="E79" s="224">
        <v>768</v>
      </c>
      <c r="F79" s="58">
        <v>382</v>
      </c>
      <c r="G79" s="8"/>
      <c r="H79" s="8"/>
    </row>
    <row r="80" spans="1:8" s="6" customFormat="1" ht="12.75" x14ac:dyDescent="0.2">
      <c r="A80" s="13" t="s">
        <v>82</v>
      </c>
      <c r="B80" s="14" t="s">
        <v>66</v>
      </c>
      <c r="C80" s="15" t="s">
        <v>40</v>
      </c>
      <c r="D80" s="224">
        <v>0</v>
      </c>
      <c r="E80" s="224">
        <v>0</v>
      </c>
      <c r="F80" s="58">
        <v>0</v>
      </c>
      <c r="G80" s="8"/>
      <c r="H80" s="8"/>
    </row>
    <row r="81" spans="1:8" s="6" customFormat="1" ht="25.5" x14ac:dyDescent="0.2">
      <c r="A81" s="13"/>
      <c r="B81" s="17" t="s">
        <v>377</v>
      </c>
      <c r="C81" s="15" t="s">
        <v>40</v>
      </c>
      <c r="D81" s="224"/>
      <c r="E81" s="224"/>
      <c r="F81" s="58"/>
      <c r="G81" s="8"/>
      <c r="H81" s="8"/>
    </row>
    <row r="82" spans="1:8" s="6" customFormat="1" ht="25.5" x14ac:dyDescent="0.2">
      <c r="A82" s="13"/>
      <c r="B82" s="17" t="s">
        <v>378</v>
      </c>
      <c r="C82" s="15" t="s">
        <v>40</v>
      </c>
      <c r="D82" s="224"/>
      <c r="E82" s="224"/>
      <c r="F82" s="58"/>
      <c r="G82" s="8"/>
      <c r="H82" s="8"/>
    </row>
    <row r="83" spans="1:8" s="6" customFormat="1" ht="12.75" x14ac:dyDescent="0.2">
      <c r="A83" s="13" t="s">
        <v>83</v>
      </c>
      <c r="B83" s="14" t="s">
        <v>197</v>
      </c>
      <c r="C83" s="15" t="s">
        <v>40</v>
      </c>
      <c r="D83" s="224">
        <v>3369</v>
      </c>
      <c r="E83" s="224">
        <v>2071</v>
      </c>
      <c r="F83" s="58">
        <v>2730</v>
      </c>
      <c r="G83" s="8"/>
      <c r="H83" s="8"/>
    </row>
    <row r="84" spans="1:8" s="6" customFormat="1" ht="12.75" x14ac:dyDescent="0.2">
      <c r="A84" s="13" t="s">
        <v>84</v>
      </c>
      <c r="B84" s="14" t="s">
        <v>190</v>
      </c>
      <c r="C84" s="15" t="s">
        <v>40</v>
      </c>
      <c r="D84" s="224">
        <v>3369</v>
      </c>
      <c r="E84" s="224">
        <v>2071</v>
      </c>
      <c r="F84" s="58">
        <v>2730</v>
      </c>
      <c r="G84" s="8"/>
      <c r="H84" s="8"/>
    </row>
    <row r="85" spans="1:8" s="6" customFormat="1" ht="25.5" x14ac:dyDescent="0.2">
      <c r="A85" s="13"/>
      <c r="B85" s="17" t="s">
        <v>377</v>
      </c>
      <c r="C85" s="15" t="s">
        <v>40</v>
      </c>
      <c r="D85" s="224">
        <v>1777</v>
      </c>
      <c r="E85" s="224">
        <v>1048</v>
      </c>
      <c r="F85" s="58">
        <v>1925</v>
      </c>
      <c r="G85" s="8"/>
      <c r="H85" s="8"/>
    </row>
    <row r="86" spans="1:8" s="6" customFormat="1" ht="25.5" x14ac:dyDescent="0.2">
      <c r="A86" s="13"/>
      <c r="B86" s="17" t="s">
        <v>378</v>
      </c>
      <c r="C86" s="15" t="s">
        <v>40</v>
      </c>
      <c r="D86" s="224">
        <v>1592</v>
      </c>
      <c r="E86" s="224">
        <v>1023</v>
      </c>
      <c r="F86" s="58">
        <v>805</v>
      </c>
      <c r="G86" s="8"/>
      <c r="H86" s="8"/>
    </row>
    <row r="87" spans="1:8" s="6" customFormat="1" ht="12.75" x14ac:dyDescent="0.2">
      <c r="A87" s="13" t="s">
        <v>85</v>
      </c>
      <c r="B87" s="14" t="s">
        <v>66</v>
      </c>
      <c r="C87" s="15" t="s">
        <v>40</v>
      </c>
      <c r="D87" s="224">
        <v>0</v>
      </c>
      <c r="E87" s="224">
        <v>0</v>
      </c>
      <c r="F87" s="58">
        <v>0</v>
      </c>
      <c r="G87" s="8"/>
      <c r="H87" s="8"/>
    </row>
    <row r="88" spans="1:8" s="6" customFormat="1" ht="25.5" x14ac:dyDescent="0.2">
      <c r="A88" s="13"/>
      <c r="B88" s="17" t="s">
        <v>377</v>
      </c>
      <c r="C88" s="15" t="s">
        <v>40</v>
      </c>
      <c r="D88" s="224"/>
      <c r="E88" s="224"/>
      <c r="F88" s="58"/>
      <c r="G88" s="8"/>
      <c r="H88" s="8"/>
    </row>
    <row r="89" spans="1:8" s="6" customFormat="1" ht="25.5" x14ac:dyDescent="0.2">
      <c r="A89" s="13"/>
      <c r="B89" s="17" t="s">
        <v>378</v>
      </c>
      <c r="C89" s="15" t="s">
        <v>40</v>
      </c>
      <c r="D89" s="224"/>
      <c r="E89" s="224"/>
      <c r="F89" s="58"/>
      <c r="G89" s="8"/>
      <c r="H89" s="8"/>
    </row>
    <row r="90" spans="1:8" s="6" customFormat="1" ht="51" x14ac:dyDescent="0.2">
      <c r="A90" s="13" t="s">
        <v>25</v>
      </c>
      <c r="B90" s="14" t="s">
        <v>198</v>
      </c>
      <c r="C90" s="15" t="s">
        <v>40</v>
      </c>
      <c r="D90" s="224">
        <v>404705</v>
      </c>
      <c r="E90" s="224">
        <v>400161</v>
      </c>
      <c r="F90" s="58">
        <v>430537</v>
      </c>
      <c r="G90" s="8"/>
      <c r="H90" s="8"/>
    </row>
    <row r="91" spans="1:8" s="6" customFormat="1" ht="12.75" x14ac:dyDescent="0.2">
      <c r="A91" s="13"/>
      <c r="B91" s="14" t="s">
        <v>86</v>
      </c>
      <c r="C91" s="15" t="s">
        <v>40</v>
      </c>
      <c r="D91" s="224">
        <v>87339</v>
      </c>
      <c r="E91" s="224">
        <v>75348</v>
      </c>
      <c r="F91" s="58">
        <v>85154</v>
      </c>
      <c r="G91" s="8"/>
      <c r="H91" s="8"/>
    </row>
    <row r="92" spans="1:8" s="6" customFormat="1" ht="25.5" x14ac:dyDescent="0.2">
      <c r="A92" s="13"/>
      <c r="B92" s="17" t="s">
        <v>377</v>
      </c>
      <c r="C92" s="15" t="s">
        <v>40</v>
      </c>
      <c r="D92" s="224">
        <v>46880</v>
      </c>
      <c r="E92" s="224">
        <v>39836</v>
      </c>
      <c r="F92" s="58">
        <v>61327</v>
      </c>
      <c r="G92" s="8"/>
      <c r="H92" s="8"/>
    </row>
    <row r="93" spans="1:8" s="6" customFormat="1" ht="25.5" x14ac:dyDescent="0.2">
      <c r="A93" s="13"/>
      <c r="B93" s="17" t="s">
        <v>378</v>
      </c>
      <c r="C93" s="15" t="s">
        <v>40</v>
      </c>
      <c r="D93" s="224">
        <v>40459</v>
      </c>
      <c r="E93" s="224">
        <v>35512</v>
      </c>
      <c r="F93" s="58">
        <v>23827</v>
      </c>
      <c r="G93" s="8"/>
      <c r="H93" s="8"/>
    </row>
    <row r="94" spans="1:8" s="6" customFormat="1" ht="12.75" x14ac:dyDescent="0.2">
      <c r="A94" s="13"/>
      <c r="B94" s="14" t="s">
        <v>87</v>
      </c>
      <c r="C94" s="15" t="s">
        <v>40</v>
      </c>
      <c r="D94" s="224">
        <v>168652</v>
      </c>
      <c r="E94" s="224">
        <v>207641</v>
      </c>
      <c r="F94" s="58">
        <v>162024</v>
      </c>
      <c r="G94" s="8"/>
      <c r="H94" s="8"/>
    </row>
    <row r="95" spans="1:8" s="6" customFormat="1" ht="25.5" x14ac:dyDescent="0.2">
      <c r="A95" s="13"/>
      <c r="B95" s="17" t="s">
        <v>377</v>
      </c>
      <c r="C95" s="15" t="s">
        <v>40</v>
      </c>
      <c r="D95" s="224">
        <v>93260</v>
      </c>
      <c r="E95" s="224">
        <v>107947</v>
      </c>
      <c r="F95" s="58">
        <v>118745</v>
      </c>
      <c r="G95" s="8"/>
      <c r="H95" s="8"/>
    </row>
    <row r="96" spans="1:8" s="6" customFormat="1" ht="25.5" x14ac:dyDescent="0.2">
      <c r="A96" s="13"/>
      <c r="B96" s="17" t="s">
        <v>378</v>
      </c>
      <c r="C96" s="15" t="s">
        <v>40</v>
      </c>
      <c r="D96" s="224">
        <v>75392</v>
      </c>
      <c r="E96" s="224">
        <v>99694</v>
      </c>
      <c r="F96" s="58">
        <v>43279</v>
      </c>
      <c r="G96" s="8"/>
      <c r="H96" s="8"/>
    </row>
    <row r="97" spans="1:8" s="6" customFormat="1" ht="12.75" x14ac:dyDescent="0.2">
      <c r="A97" s="13"/>
      <c r="B97" s="14" t="s">
        <v>88</v>
      </c>
      <c r="C97" s="15" t="s">
        <v>40</v>
      </c>
      <c r="D97" s="224">
        <v>148714</v>
      </c>
      <c r="E97" s="224">
        <v>117172</v>
      </c>
      <c r="F97" s="58">
        <v>183359</v>
      </c>
      <c r="G97" s="8"/>
      <c r="H97" s="8"/>
    </row>
    <row r="98" spans="1:8" s="6" customFormat="1" ht="25.5" x14ac:dyDescent="0.2">
      <c r="A98" s="13"/>
      <c r="B98" s="17" t="s">
        <v>377</v>
      </c>
      <c r="C98" s="15" t="s">
        <v>40</v>
      </c>
      <c r="D98" s="224">
        <v>78068</v>
      </c>
      <c r="E98" s="224">
        <v>62147</v>
      </c>
      <c r="F98" s="58">
        <v>140972</v>
      </c>
      <c r="G98" s="8"/>
      <c r="H98" s="8"/>
    </row>
    <row r="99" spans="1:8" s="6" customFormat="1" ht="25.5" x14ac:dyDescent="0.2">
      <c r="A99" s="13"/>
      <c r="B99" s="17" t="s">
        <v>378</v>
      </c>
      <c r="C99" s="15" t="s">
        <v>40</v>
      </c>
      <c r="D99" s="224">
        <v>70646</v>
      </c>
      <c r="E99" s="224">
        <v>55025</v>
      </c>
      <c r="F99" s="58">
        <v>42387</v>
      </c>
      <c r="G99" s="8"/>
      <c r="H99" s="8"/>
    </row>
    <row r="100" spans="1:8" s="6" customFormat="1" ht="38.25" x14ac:dyDescent="0.2">
      <c r="A100" s="13" t="s">
        <v>26</v>
      </c>
      <c r="B100" s="14" t="s">
        <v>199</v>
      </c>
      <c r="C100" s="15" t="s">
        <v>40</v>
      </c>
      <c r="D100" s="224">
        <v>0</v>
      </c>
      <c r="E100" s="224">
        <v>0</v>
      </c>
      <c r="F100" s="58">
        <v>0</v>
      </c>
      <c r="G100" s="8"/>
      <c r="H100" s="8"/>
    </row>
    <row r="101" spans="1:8" s="6" customFormat="1" ht="25.5" x14ac:dyDescent="0.2">
      <c r="A101" s="13"/>
      <c r="B101" s="17" t="s">
        <v>377</v>
      </c>
      <c r="C101" s="15" t="s">
        <v>40</v>
      </c>
      <c r="D101" s="224"/>
      <c r="E101" s="224"/>
      <c r="F101" s="58"/>
      <c r="G101" s="8"/>
      <c r="H101" s="8"/>
    </row>
    <row r="102" spans="1:8" s="6" customFormat="1" ht="25.5" x14ac:dyDescent="0.2">
      <c r="A102" s="13"/>
      <c r="B102" s="17" t="s">
        <v>378</v>
      </c>
      <c r="C102" s="15" t="s">
        <v>40</v>
      </c>
      <c r="D102" s="224"/>
      <c r="E102" s="224"/>
      <c r="F102" s="58"/>
      <c r="G102" s="8"/>
      <c r="H102" s="8"/>
    </row>
    <row r="103" spans="1:8" s="6" customFormat="1" ht="25.5" x14ac:dyDescent="0.2">
      <c r="A103" s="13" t="s">
        <v>29</v>
      </c>
      <c r="B103" s="14" t="s">
        <v>200</v>
      </c>
      <c r="C103" s="15"/>
      <c r="D103" s="225">
        <v>3.9569999999999999</v>
      </c>
      <c r="E103" s="225">
        <v>8.5180000000000007</v>
      </c>
      <c r="F103" s="227">
        <v>10.481</v>
      </c>
      <c r="G103" s="221"/>
      <c r="H103" s="8"/>
    </row>
    <row r="104" spans="1:8" s="6" customFormat="1" ht="25.5" x14ac:dyDescent="0.2">
      <c r="A104" s="13" t="s">
        <v>30</v>
      </c>
      <c r="B104" s="14" t="s">
        <v>201</v>
      </c>
      <c r="C104" s="15" t="s">
        <v>89</v>
      </c>
      <c r="D104" s="227">
        <v>2.9929999999999999</v>
      </c>
      <c r="E104" s="227">
        <v>7.3490000000000002</v>
      </c>
      <c r="F104" s="227">
        <v>9.23</v>
      </c>
      <c r="G104" s="8"/>
      <c r="H104" s="8"/>
    </row>
    <row r="105" spans="1:8" s="6" customFormat="1" ht="51" x14ac:dyDescent="0.2">
      <c r="A105" s="13" t="s">
        <v>90</v>
      </c>
      <c r="B105" s="14" t="s">
        <v>202</v>
      </c>
      <c r="C105" s="15" t="s">
        <v>89</v>
      </c>
      <c r="D105" s="225">
        <v>0.96399999999999997</v>
      </c>
      <c r="E105" s="225">
        <v>1.169</v>
      </c>
      <c r="F105" s="227">
        <v>1.2509999999999999</v>
      </c>
      <c r="G105" s="8"/>
      <c r="H105" s="8"/>
    </row>
    <row r="106" spans="1:8" s="6" customFormat="1" ht="12.75" x14ac:dyDescent="0.2">
      <c r="A106" s="13"/>
      <c r="B106" s="17" t="s">
        <v>86</v>
      </c>
      <c r="C106" s="15" t="s">
        <v>89</v>
      </c>
      <c r="D106" s="227">
        <v>0.94399999999999995</v>
      </c>
      <c r="E106" s="227">
        <v>1.145</v>
      </c>
      <c r="F106" s="227">
        <v>1.228</v>
      </c>
      <c r="G106" s="8"/>
      <c r="H106" s="8"/>
    </row>
    <row r="107" spans="1:8" s="6" customFormat="1" ht="12.75" x14ac:dyDescent="0.2">
      <c r="A107" s="13"/>
      <c r="B107" s="17" t="s">
        <v>87</v>
      </c>
      <c r="C107" s="15" t="s">
        <v>89</v>
      </c>
      <c r="D107" s="227">
        <v>1.6E-2</v>
      </c>
      <c r="E107" s="227">
        <v>1.7999999999999999E-2</v>
      </c>
      <c r="F107" s="227">
        <v>1.7999999999999999E-2</v>
      </c>
      <c r="G107" s="8"/>
      <c r="H107" s="8"/>
    </row>
    <row r="108" spans="1:8" s="6" customFormat="1" ht="12.75" x14ac:dyDescent="0.2">
      <c r="A108" s="13"/>
      <c r="B108" s="17" t="s">
        <v>88</v>
      </c>
      <c r="C108" s="15" t="s">
        <v>89</v>
      </c>
      <c r="D108" s="227">
        <v>4.0000000000000001E-3</v>
      </c>
      <c r="E108" s="227">
        <v>6.0000000000000001E-3</v>
      </c>
      <c r="F108" s="227">
        <v>5.0000000000000001E-3</v>
      </c>
      <c r="G108" s="8"/>
      <c r="H108" s="8"/>
    </row>
    <row r="109" spans="1:8" s="6" customFormat="1" ht="38.25" x14ac:dyDescent="0.2">
      <c r="A109" s="13" t="s">
        <v>91</v>
      </c>
      <c r="B109" s="14" t="s">
        <v>203</v>
      </c>
      <c r="C109" s="15" t="s">
        <v>89</v>
      </c>
      <c r="D109" s="224"/>
      <c r="E109" s="224"/>
      <c r="F109" s="58"/>
      <c r="G109" s="8"/>
      <c r="H109" s="8"/>
    </row>
    <row r="110" spans="1:8" s="6" customFormat="1" ht="25.5" x14ac:dyDescent="0.2">
      <c r="A110" s="13" t="s">
        <v>32</v>
      </c>
      <c r="B110" s="14" t="s">
        <v>204</v>
      </c>
      <c r="C110" s="15"/>
      <c r="D110" s="220">
        <v>4162</v>
      </c>
      <c r="E110" s="220">
        <v>6652</v>
      </c>
      <c r="F110" s="58">
        <v>9039</v>
      </c>
      <c r="G110" s="221"/>
      <c r="H110" s="8"/>
    </row>
    <row r="111" spans="1:8" s="6" customFormat="1" ht="25.5" x14ac:dyDescent="0.2">
      <c r="A111" s="13" t="s">
        <v>33</v>
      </c>
      <c r="B111" s="14" t="s">
        <v>205</v>
      </c>
      <c r="C111" s="15" t="s">
        <v>92</v>
      </c>
      <c r="D111" s="220">
        <v>1061</v>
      </c>
      <c r="E111" s="220">
        <v>3406</v>
      </c>
      <c r="F111" s="58">
        <v>5330</v>
      </c>
      <c r="G111" s="8"/>
      <c r="H111" s="8"/>
    </row>
    <row r="112" spans="1:8" s="6" customFormat="1" ht="51" x14ac:dyDescent="0.2">
      <c r="A112" s="13" t="s">
        <v>35</v>
      </c>
      <c r="B112" s="14" t="s">
        <v>206</v>
      </c>
      <c r="C112" s="15" t="s">
        <v>92</v>
      </c>
      <c r="D112" s="220">
        <v>3101</v>
      </c>
      <c r="E112" s="220">
        <v>3246</v>
      </c>
      <c r="F112" s="58">
        <v>3709</v>
      </c>
      <c r="G112" s="8"/>
      <c r="H112" s="8"/>
    </row>
    <row r="113" spans="1:11" s="6" customFormat="1" ht="12.75" x14ac:dyDescent="0.2">
      <c r="A113" s="13"/>
      <c r="B113" s="17" t="s">
        <v>86</v>
      </c>
      <c r="C113" s="15" t="s">
        <v>92</v>
      </c>
      <c r="D113" s="220">
        <v>3070</v>
      </c>
      <c r="E113" s="220">
        <v>3215</v>
      </c>
      <c r="F113" s="58">
        <v>3678</v>
      </c>
      <c r="G113" s="8"/>
      <c r="H113" s="8"/>
    </row>
    <row r="114" spans="1:11" s="6" customFormat="1" ht="12.75" x14ac:dyDescent="0.2">
      <c r="A114" s="13"/>
      <c r="B114" s="17" t="s">
        <v>87</v>
      </c>
      <c r="C114" s="15" t="s">
        <v>92</v>
      </c>
      <c r="D114" s="220">
        <v>22</v>
      </c>
      <c r="E114" s="220">
        <v>22</v>
      </c>
      <c r="F114" s="58">
        <v>22</v>
      </c>
      <c r="G114" s="8"/>
      <c r="H114" s="8"/>
    </row>
    <row r="115" spans="1:11" s="6" customFormat="1" ht="12.75" x14ac:dyDescent="0.2">
      <c r="A115" s="13"/>
      <c r="B115" s="17" t="s">
        <v>88</v>
      </c>
      <c r="C115" s="15" t="s">
        <v>92</v>
      </c>
      <c r="D115" s="220">
        <v>9</v>
      </c>
      <c r="E115" s="220">
        <v>9</v>
      </c>
      <c r="F115" s="58">
        <v>9</v>
      </c>
      <c r="G115" s="8"/>
      <c r="H115" s="8"/>
    </row>
    <row r="116" spans="1:11" s="6" customFormat="1" ht="12.75" x14ac:dyDescent="0.2">
      <c r="A116" s="13" t="s">
        <v>44</v>
      </c>
      <c r="B116" s="14" t="s">
        <v>207</v>
      </c>
      <c r="C116" s="15" t="s">
        <v>92</v>
      </c>
      <c r="D116" s="220">
        <v>4162</v>
      </c>
      <c r="E116" s="220">
        <v>4307</v>
      </c>
      <c r="F116" s="58">
        <v>4543</v>
      </c>
      <c r="G116" s="221"/>
      <c r="H116" s="8"/>
    </row>
    <row r="117" spans="1:11" s="6" customFormat="1" ht="25.5" x14ac:dyDescent="0.2">
      <c r="A117" s="13" t="s">
        <v>55</v>
      </c>
      <c r="B117" s="14" t="s">
        <v>208</v>
      </c>
      <c r="C117" s="15" t="s">
        <v>24</v>
      </c>
      <c r="D117" s="224">
        <v>39544.879201174437</v>
      </c>
      <c r="E117" s="224">
        <v>41098.119992714099</v>
      </c>
      <c r="F117" s="224">
        <v>47858.364837765963</v>
      </c>
      <c r="G117" s="8"/>
      <c r="H117" s="8"/>
    </row>
    <row r="118" spans="1:11" s="6" customFormat="1" ht="25.5" x14ac:dyDescent="0.2">
      <c r="A118" s="13" t="s">
        <v>59</v>
      </c>
      <c r="B118" s="14" t="s">
        <v>180</v>
      </c>
      <c r="C118" s="15"/>
      <c r="D118" s="223"/>
      <c r="E118" s="223"/>
      <c r="F118" s="249"/>
      <c r="G118" s="8"/>
      <c r="H118" s="8"/>
    </row>
    <row r="119" spans="1:11" s="6" customFormat="1" ht="12.75" x14ac:dyDescent="0.2">
      <c r="A119" s="13" t="s">
        <v>93</v>
      </c>
      <c r="B119" s="14" t="s">
        <v>181</v>
      </c>
      <c r="C119" s="15" t="s">
        <v>61</v>
      </c>
      <c r="D119" s="224">
        <v>13</v>
      </c>
      <c r="E119" s="224">
        <v>9</v>
      </c>
      <c r="F119" s="224">
        <v>10</v>
      </c>
      <c r="G119" s="8"/>
      <c r="H119" s="8"/>
      <c r="I119" s="24"/>
      <c r="J119" s="24"/>
      <c r="K119" s="24"/>
    </row>
    <row r="120" spans="1:11" s="6" customFormat="1" ht="25.5" x14ac:dyDescent="0.2">
      <c r="A120" s="13" t="s">
        <v>94</v>
      </c>
      <c r="B120" s="14" t="s">
        <v>182</v>
      </c>
      <c r="C120" s="15" t="s">
        <v>187</v>
      </c>
      <c r="D120" s="34">
        <v>142.28509778903401</v>
      </c>
      <c r="E120" s="34">
        <v>235.518058173686</v>
      </c>
      <c r="F120" s="34">
        <v>250.600575565084</v>
      </c>
      <c r="G120" s="8"/>
      <c r="H120" s="8"/>
      <c r="I120" s="24"/>
      <c r="J120" s="24"/>
      <c r="K120" s="24"/>
    </row>
    <row r="121" spans="1:11" s="6" customFormat="1" ht="25.5" x14ac:dyDescent="0.2">
      <c r="A121" s="13" t="s">
        <v>95</v>
      </c>
      <c r="B121" s="14" t="s">
        <v>183</v>
      </c>
      <c r="C121" s="15"/>
      <c r="D121" s="15" t="s">
        <v>376</v>
      </c>
      <c r="E121" s="269" t="s">
        <v>370</v>
      </c>
      <c r="F121" s="270"/>
      <c r="G121" s="8"/>
      <c r="H121" s="8"/>
      <c r="I121" s="24"/>
      <c r="J121" s="24"/>
      <c r="K121" s="24"/>
    </row>
    <row r="122" spans="1:11" s="6" customFormat="1" ht="12.75" x14ac:dyDescent="0.2">
      <c r="A122" s="13" t="s">
        <v>60</v>
      </c>
      <c r="B122" s="14" t="s">
        <v>209</v>
      </c>
      <c r="C122" s="15" t="s">
        <v>24</v>
      </c>
      <c r="D122" s="223" t="s">
        <v>263</v>
      </c>
      <c r="E122" s="223" t="s">
        <v>263</v>
      </c>
      <c r="F122" s="249">
        <v>0</v>
      </c>
      <c r="G122" s="8"/>
      <c r="H122" s="8"/>
      <c r="I122" s="24"/>
      <c r="J122" s="24"/>
      <c r="K122" s="24"/>
    </row>
    <row r="123" spans="1:11" s="6" customFormat="1" ht="12.75" x14ac:dyDescent="0.2">
      <c r="A123" s="13" t="s">
        <v>96</v>
      </c>
      <c r="B123" s="14" t="s">
        <v>210</v>
      </c>
      <c r="C123" s="15" t="s">
        <v>24</v>
      </c>
      <c r="D123" s="223" t="s">
        <v>263</v>
      </c>
      <c r="E123" s="223" t="s">
        <v>263</v>
      </c>
      <c r="F123" s="249">
        <v>0</v>
      </c>
      <c r="G123" s="8"/>
      <c r="H123" s="8"/>
    </row>
    <row r="124" spans="1:11" s="6" customFormat="1" ht="12.75" x14ac:dyDescent="0.2">
      <c r="A124" s="13" t="s">
        <v>97</v>
      </c>
      <c r="B124" s="14" t="s">
        <v>211</v>
      </c>
      <c r="C124" s="15" t="s">
        <v>24</v>
      </c>
      <c r="D124" s="223">
        <v>0</v>
      </c>
      <c r="E124" s="223" t="s">
        <v>263</v>
      </c>
      <c r="F124" s="249">
        <v>0</v>
      </c>
      <c r="G124" s="8"/>
      <c r="H124" s="8"/>
    </row>
    <row r="125" spans="1:11" s="6" customFormat="1" ht="12.75" x14ac:dyDescent="0.2">
      <c r="A125" s="13" t="s">
        <v>98</v>
      </c>
      <c r="B125" s="14" t="s">
        <v>28</v>
      </c>
      <c r="C125" s="15" t="s">
        <v>24</v>
      </c>
      <c r="D125" s="224">
        <v>-9086827.5604144894</v>
      </c>
      <c r="E125" s="224">
        <v>-4189374.0839837799</v>
      </c>
      <c r="F125" s="224">
        <v>-284647.12061657</v>
      </c>
      <c r="G125" s="8"/>
      <c r="H125" s="8"/>
    </row>
    <row r="126" spans="1:11" s="6" customFormat="1" ht="25.5" x14ac:dyDescent="0.2">
      <c r="A126" s="13" t="s">
        <v>99</v>
      </c>
      <c r="B126" s="14" t="s">
        <v>212</v>
      </c>
      <c r="C126" s="15" t="s">
        <v>101</v>
      </c>
      <c r="D126" s="21">
        <v>-5.325632809571941E-2</v>
      </c>
      <c r="E126" s="21">
        <v>-0.20620854093601773</v>
      </c>
      <c r="F126" s="21">
        <v>9.1821450021159212E-3</v>
      </c>
      <c r="G126" s="8"/>
      <c r="H126" s="8"/>
    </row>
    <row r="127" spans="1:11" s="6" customFormat="1" ht="38.25" x14ac:dyDescent="0.2">
      <c r="A127" s="13" t="s">
        <v>100</v>
      </c>
      <c r="B127" s="14" t="s">
        <v>213</v>
      </c>
      <c r="C127" s="15"/>
      <c r="D127" s="269" t="s">
        <v>371</v>
      </c>
      <c r="E127" s="274"/>
      <c r="F127" s="270"/>
      <c r="G127" s="8"/>
      <c r="H127" s="8"/>
    </row>
    <row r="128" spans="1:11" s="6" customFormat="1" ht="12.75" x14ac:dyDescent="0.2">
      <c r="A128" s="265" t="s">
        <v>102</v>
      </c>
      <c r="B128" s="265"/>
      <c r="C128" s="265"/>
      <c r="D128" s="265"/>
      <c r="E128" s="265"/>
      <c r="F128" s="265"/>
      <c r="G128" s="66"/>
      <c r="H128" s="32"/>
    </row>
    <row r="129" spans="1:11" s="6" customFormat="1" ht="12.75" x14ac:dyDescent="0.2">
      <c r="A129" s="13" t="s">
        <v>21</v>
      </c>
      <c r="B129" s="14" t="s">
        <v>103</v>
      </c>
      <c r="C129" s="15" t="s">
        <v>34</v>
      </c>
      <c r="D129" s="223">
        <v>128.25</v>
      </c>
      <c r="E129" s="223">
        <v>128.25</v>
      </c>
      <c r="F129" s="223">
        <v>128.25</v>
      </c>
      <c r="G129" s="8"/>
      <c r="H129" s="8"/>
    </row>
    <row r="130" spans="1:11" s="6" customFormat="1" ht="51" x14ac:dyDescent="0.2">
      <c r="A130" s="13" t="s">
        <v>29</v>
      </c>
      <c r="B130" s="14" t="s">
        <v>214</v>
      </c>
      <c r="C130" s="15" t="s">
        <v>34</v>
      </c>
      <c r="D130" s="223" t="s">
        <v>373</v>
      </c>
      <c r="E130" s="223" t="s">
        <v>374</v>
      </c>
      <c r="F130" s="247" t="s">
        <v>379</v>
      </c>
      <c r="G130" s="8"/>
      <c r="H130" s="8"/>
    </row>
    <row r="131" spans="1:11" s="6" customFormat="1" ht="12.75" x14ac:dyDescent="0.2">
      <c r="A131" s="13" t="s">
        <v>32</v>
      </c>
      <c r="B131" s="14" t="s">
        <v>215</v>
      </c>
      <c r="C131" s="15" t="s">
        <v>216</v>
      </c>
      <c r="D131" s="223" t="s">
        <v>265</v>
      </c>
      <c r="E131" s="223" t="s">
        <v>264</v>
      </c>
      <c r="F131" s="225">
        <v>237.40758199999999</v>
      </c>
      <c r="G131" s="8"/>
      <c r="H131" s="8"/>
    </row>
    <row r="132" spans="1:11" s="6" customFormat="1" ht="12.75" x14ac:dyDescent="0.2">
      <c r="A132" s="13" t="s">
        <v>44</v>
      </c>
      <c r="B132" s="14" t="s">
        <v>217</v>
      </c>
      <c r="C132" s="15" t="s">
        <v>216</v>
      </c>
      <c r="D132" s="225">
        <v>204.18</v>
      </c>
      <c r="E132" s="225">
        <v>222.13749999999999</v>
      </c>
      <c r="F132" s="227">
        <v>188.46658199999999</v>
      </c>
      <c r="G132" s="8"/>
      <c r="H132" s="8"/>
    </row>
    <row r="133" spans="1:11" s="6" customFormat="1" ht="12.75" x14ac:dyDescent="0.2">
      <c r="A133" s="13" t="s">
        <v>55</v>
      </c>
      <c r="B133" s="14" t="s">
        <v>218</v>
      </c>
      <c r="C133" s="15" t="s">
        <v>104</v>
      </c>
      <c r="D133" s="225">
        <v>305.36989999999997</v>
      </c>
      <c r="E133" s="225" t="s">
        <v>266</v>
      </c>
      <c r="F133" s="225">
        <v>305.35899999999998</v>
      </c>
      <c r="G133" s="8"/>
      <c r="H133" s="8"/>
    </row>
    <row r="134" spans="1:11" s="6" customFormat="1" ht="12.75" x14ac:dyDescent="0.2">
      <c r="A134" s="13" t="s">
        <v>59</v>
      </c>
      <c r="B134" s="14" t="s">
        <v>219</v>
      </c>
      <c r="C134" s="15" t="s">
        <v>104</v>
      </c>
      <c r="D134" s="225">
        <v>279.72629999999998</v>
      </c>
      <c r="E134" s="225">
        <v>288.35599999999999</v>
      </c>
      <c r="F134" s="225">
        <v>280.48399999999998</v>
      </c>
      <c r="G134" s="8"/>
      <c r="H134" s="8"/>
    </row>
    <row r="135" spans="1:11" s="6" customFormat="1" ht="12.75" x14ac:dyDescent="0.2">
      <c r="A135" s="13" t="s">
        <v>60</v>
      </c>
      <c r="B135" s="14" t="s">
        <v>220</v>
      </c>
      <c r="C135" s="15" t="s">
        <v>221</v>
      </c>
      <c r="D135" s="224">
        <v>16310.3086753017</v>
      </c>
      <c r="E135" s="224">
        <v>20307.933716666197</v>
      </c>
      <c r="F135" s="224">
        <v>19122.455795144462</v>
      </c>
      <c r="G135" s="8"/>
      <c r="H135" s="8"/>
    </row>
    <row r="136" spans="1:11" s="6" customFormat="1" ht="12.75" x14ac:dyDescent="0.2">
      <c r="A136" s="13" t="s">
        <v>105</v>
      </c>
      <c r="B136" s="14" t="s">
        <v>222</v>
      </c>
      <c r="C136" s="15" t="s">
        <v>221</v>
      </c>
      <c r="D136" s="224">
        <v>14717.061384431699</v>
      </c>
      <c r="E136" s="224">
        <v>18378.595982142298</v>
      </c>
      <c r="F136" s="224">
        <v>16797.119259261701</v>
      </c>
      <c r="G136" s="8"/>
      <c r="H136" s="8"/>
      <c r="I136" s="24"/>
      <c r="J136" s="24"/>
      <c r="K136" s="24"/>
    </row>
    <row r="137" spans="1:11" s="6" customFormat="1" ht="12.75" x14ac:dyDescent="0.2">
      <c r="A137" s="13" t="s">
        <v>106</v>
      </c>
      <c r="B137" s="14" t="s">
        <v>223</v>
      </c>
      <c r="C137" s="15" t="s">
        <v>221</v>
      </c>
      <c r="D137" s="224"/>
      <c r="E137" s="224"/>
      <c r="F137" s="224"/>
      <c r="G137" s="8"/>
      <c r="H137" s="8"/>
      <c r="I137" s="24"/>
      <c r="J137" s="24"/>
      <c r="K137" s="24"/>
    </row>
    <row r="138" spans="1:11" s="6" customFormat="1" ht="25.5" x14ac:dyDescent="0.2">
      <c r="A138" s="13" t="s">
        <v>107</v>
      </c>
      <c r="B138" s="14" t="s">
        <v>224</v>
      </c>
      <c r="C138" s="15" t="s">
        <v>221</v>
      </c>
      <c r="D138" s="224">
        <v>1593.2472908699999</v>
      </c>
      <c r="E138" s="224">
        <v>1929.3377345239001</v>
      </c>
      <c r="F138" s="224">
        <v>2325.33653588276</v>
      </c>
      <c r="G138" s="8"/>
      <c r="H138" s="8"/>
    </row>
    <row r="139" spans="1:11" s="6" customFormat="1" ht="12.75" x14ac:dyDescent="0.2">
      <c r="A139" s="13" t="s">
        <v>96</v>
      </c>
      <c r="B139" s="14" t="s">
        <v>225</v>
      </c>
      <c r="C139" s="15"/>
      <c r="D139" s="224">
        <v>2397.8413</v>
      </c>
      <c r="E139" s="224">
        <v>4114.2393057198005</v>
      </c>
      <c r="F139" s="224">
        <v>3765.31122603021</v>
      </c>
      <c r="G139" s="8"/>
      <c r="H139" s="8"/>
    </row>
    <row r="140" spans="1:11" s="6" customFormat="1" ht="12.75" x14ac:dyDescent="0.2">
      <c r="A140" s="13" t="s">
        <v>108</v>
      </c>
      <c r="B140" s="14" t="s">
        <v>226</v>
      </c>
      <c r="C140" s="15" t="s">
        <v>221</v>
      </c>
      <c r="D140" s="224">
        <v>1710.3266000000001</v>
      </c>
      <c r="E140" s="224">
        <v>3043.2340465787902</v>
      </c>
      <c r="F140" s="224">
        <v>2532.5838893377199</v>
      </c>
      <c r="G140" s="8"/>
      <c r="H140" s="8"/>
    </row>
    <row r="141" spans="1:11" s="6" customFormat="1" ht="25.5" x14ac:dyDescent="0.2">
      <c r="A141" s="13"/>
      <c r="B141" s="14" t="s">
        <v>227</v>
      </c>
      <c r="C141" s="15" t="s">
        <v>109</v>
      </c>
      <c r="D141" s="34">
        <v>488.09827773094059</v>
      </c>
      <c r="E141" s="228">
        <v>556.28166612949758</v>
      </c>
      <c r="F141" s="228">
        <v>530.14703688954262</v>
      </c>
      <c r="G141" s="8"/>
      <c r="H141" s="8"/>
    </row>
    <row r="142" spans="1:11" s="6" customFormat="1" ht="12.75" x14ac:dyDescent="0.2">
      <c r="A142" s="13" t="s">
        <v>111</v>
      </c>
      <c r="B142" s="14" t="s">
        <v>228</v>
      </c>
      <c r="C142" s="15" t="s">
        <v>221</v>
      </c>
      <c r="D142" s="224">
        <v>687.51469999999995</v>
      </c>
      <c r="E142" s="224">
        <v>1071.0052591410099</v>
      </c>
      <c r="F142" s="224">
        <v>1232.7273366924901</v>
      </c>
      <c r="G142" s="8"/>
      <c r="H142" s="8"/>
    </row>
    <row r="143" spans="1:11" s="6" customFormat="1" ht="25.5" x14ac:dyDescent="0.2">
      <c r="A143" s="13"/>
      <c r="B143" s="14" t="s">
        <v>229</v>
      </c>
      <c r="C143" s="15" t="s">
        <v>110</v>
      </c>
      <c r="D143" s="34">
        <v>176.26401292334319</v>
      </c>
      <c r="E143" s="228">
        <v>177.84581396536757</v>
      </c>
      <c r="F143" s="228">
        <v>179.02534393942864</v>
      </c>
      <c r="G143" s="8"/>
      <c r="H143" s="8"/>
    </row>
    <row r="144" spans="1:11" s="6" customFormat="1" ht="38.25" x14ac:dyDescent="0.2">
      <c r="A144" s="13"/>
      <c r="B144" s="14" t="s">
        <v>230</v>
      </c>
      <c r="C144" s="15"/>
      <c r="D144" s="223"/>
      <c r="E144" s="223"/>
      <c r="F144" s="249"/>
      <c r="G144" s="8"/>
      <c r="H144" s="8"/>
    </row>
    <row r="145" spans="1:11" s="6" customFormat="1" ht="12.75" x14ac:dyDescent="0.2">
      <c r="A145" s="13" t="s">
        <v>97</v>
      </c>
      <c r="B145" s="14" t="s">
        <v>112</v>
      </c>
      <c r="C145" s="15" t="s">
        <v>221</v>
      </c>
      <c r="D145" s="220">
        <v>374.78345616000001</v>
      </c>
      <c r="E145" s="220">
        <v>1442.8298292454826</v>
      </c>
      <c r="F145" s="220">
        <v>353.5964312103377</v>
      </c>
      <c r="G145" s="8"/>
      <c r="H145" s="8"/>
      <c r="K145" s="23"/>
    </row>
    <row r="146" spans="1:11" s="6" customFormat="1" ht="33.75" customHeight="1" x14ac:dyDescent="0.2">
      <c r="A146" s="13" t="s">
        <v>98</v>
      </c>
      <c r="B146" s="14" t="s">
        <v>231</v>
      </c>
      <c r="C146" s="15"/>
      <c r="D146" s="223"/>
      <c r="E146" s="223"/>
      <c r="F146" s="249"/>
      <c r="G146" s="8"/>
      <c r="H146" s="8"/>
      <c r="J146" s="23"/>
    </row>
    <row r="147" spans="1:11" s="6" customFormat="1" ht="12.75" x14ac:dyDescent="0.2">
      <c r="A147" s="13" t="s">
        <v>113</v>
      </c>
      <c r="B147" s="14" t="s">
        <v>232</v>
      </c>
      <c r="C147" s="15" t="s">
        <v>61</v>
      </c>
      <c r="D147" s="224">
        <v>758</v>
      </c>
      <c r="E147" s="224">
        <v>840</v>
      </c>
      <c r="F147" s="58">
        <v>840</v>
      </c>
      <c r="G147" s="8"/>
      <c r="H147" s="8"/>
      <c r="I147" s="24"/>
      <c r="J147" s="24"/>
      <c r="K147" s="24"/>
    </row>
    <row r="148" spans="1:11" s="6" customFormat="1" ht="25.5" x14ac:dyDescent="0.2">
      <c r="A148" s="13" t="s">
        <v>114</v>
      </c>
      <c r="B148" s="14" t="s">
        <v>233</v>
      </c>
      <c r="C148" s="15" t="s">
        <v>187</v>
      </c>
      <c r="D148" s="34">
        <v>203.27132682943611</v>
      </c>
      <c r="E148" s="34">
        <v>264.95792928520711</v>
      </c>
      <c r="F148" s="244">
        <v>276.99922678979544</v>
      </c>
      <c r="G148" s="8"/>
      <c r="H148" s="8"/>
      <c r="I148" s="24"/>
      <c r="J148" s="24"/>
      <c r="K148" s="24"/>
    </row>
    <row r="149" spans="1:11" s="6" customFormat="1" ht="25.5" x14ac:dyDescent="0.2">
      <c r="A149" s="13" t="s">
        <v>115</v>
      </c>
      <c r="B149" s="14" t="s">
        <v>234</v>
      </c>
      <c r="C149" s="15"/>
      <c r="D149" s="15" t="s">
        <v>376</v>
      </c>
      <c r="E149" s="269" t="s">
        <v>370</v>
      </c>
      <c r="F149" s="270"/>
      <c r="G149" s="8"/>
      <c r="H149" s="8"/>
      <c r="I149" s="24"/>
      <c r="J149" s="24"/>
      <c r="K149" s="24"/>
    </row>
    <row r="150" spans="1:11" s="6" customFormat="1" ht="12.75" x14ac:dyDescent="0.2">
      <c r="A150" s="13" t="s">
        <v>99</v>
      </c>
      <c r="B150" s="14" t="s">
        <v>235</v>
      </c>
      <c r="C150" s="15" t="s">
        <v>221</v>
      </c>
      <c r="D150" s="224">
        <v>15347.351644053701</v>
      </c>
      <c r="E150" s="224">
        <v>19926.408257666382</v>
      </c>
      <c r="F150" s="224">
        <v>16998.729263096262</v>
      </c>
      <c r="G150" s="8"/>
      <c r="H150" s="8"/>
      <c r="I150" s="24"/>
      <c r="J150" s="24"/>
      <c r="K150" s="24"/>
    </row>
    <row r="151" spans="1:11" s="6" customFormat="1" ht="12.75" x14ac:dyDescent="0.2">
      <c r="A151" s="13" t="s">
        <v>116</v>
      </c>
      <c r="B151" s="14" t="s">
        <v>236</v>
      </c>
      <c r="C151" s="15" t="s">
        <v>221</v>
      </c>
      <c r="D151" s="224">
        <v>13393.8848116237</v>
      </c>
      <c r="E151" s="58">
        <v>17943.897237434299</v>
      </c>
      <c r="F151" s="224">
        <v>14800.469621370001</v>
      </c>
      <c r="G151" s="8"/>
      <c r="H151" s="8"/>
    </row>
    <row r="152" spans="1:11" s="6" customFormat="1" ht="12.75" x14ac:dyDescent="0.2">
      <c r="A152" s="13" t="s">
        <v>117</v>
      </c>
      <c r="B152" s="14" t="s">
        <v>237</v>
      </c>
      <c r="C152" s="15" t="s">
        <v>221</v>
      </c>
      <c r="D152" s="224"/>
      <c r="E152" s="224"/>
      <c r="F152" s="224"/>
      <c r="G152" s="8"/>
      <c r="H152" s="8"/>
    </row>
    <row r="153" spans="1:11" s="6" customFormat="1" ht="25.5" x14ac:dyDescent="0.2">
      <c r="A153" s="13" t="s">
        <v>118</v>
      </c>
      <c r="B153" s="14" t="s">
        <v>238</v>
      </c>
      <c r="C153" s="15" t="s">
        <v>221</v>
      </c>
      <c r="D153" s="58">
        <v>1953.4668324299996</v>
      </c>
      <c r="E153" s="58">
        <v>1982.5110202320825</v>
      </c>
      <c r="F153" s="58">
        <v>2198.2596417262598</v>
      </c>
      <c r="G153" s="8"/>
      <c r="H153" s="8"/>
    </row>
    <row r="154" spans="1:11" s="6" customFormat="1" ht="25.5" x14ac:dyDescent="0.2">
      <c r="A154" s="13" t="s">
        <v>100</v>
      </c>
      <c r="B154" s="14" t="s">
        <v>239</v>
      </c>
      <c r="C154" s="15"/>
      <c r="D154" s="224">
        <v>0</v>
      </c>
      <c r="E154" s="224">
        <v>0</v>
      </c>
      <c r="F154" s="224">
        <v>0</v>
      </c>
      <c r="G154" s="8"/>
      <c r="H154" s="8"/>
    </row>
    <row r="155" spans="1:11" s="6" customFormat="1" ht="12.75" x14ac:dyDescent="0.2">
      <c r="A155" s="13" t="s">
        <v>119</v>
      </c>
      <c r="B155" s="14" t="s">
        <v>240</v>
      </c>
      <c r="C155" s="15" t="s">
        <v>221</v>
      </c>
      <c r="D155" s="224">
        <v>0</v>
      </c>
      <c r="E155" s="224">
        <v>0</v>
      </c>
      <c r="F155" s="224">
        <v>0</v>
      </c>
      <c r="G155" s="8"/>
      <c r="H155" s="8"/>
    </row>
    <row r="156" spans="1:11" s="6" customFormat="1" ht="12.75" x14ac:dyDescent="0.2">
      <c r="A156" s="13" t="s">
        <v>120</v>
      </c>
      <c r="B156" s="14" t="s">
        <v>241</v>
      </c>
      <c r="C156" s="15" t="s">
        <v>221</v>
      </c>
      <c r="D156" s="224">
        <v>0</v>
      </c>
      <c r="E156" s="224">
        <v>0</v>
      </c>
      <c r="F156" s="224">
        <v>0</v>
      </c>
      <c r="G156" s="8"/>
      <c r="H156" s="8"/>
    </row>
    <row r="157" spans="1:11" s="6" customFormat="1" ht="25.5" x14ac:dyDescent="0.2">
      <c r="A157" s="13" t="s">
        <v>121</v>
      </c>
      <c r="B157" s="14" t="s">
        <v>242</v>
      </c>
      <c r="C157" s="15"/>
      <c r="D157" s="224">
        <v>1774.0996377784741</v>
      </c>
      <c r="E157" s="224">
        <v>465.22727813652136</v>
      </c>
      <c r="F157" s="58">
        <v>2075.5250851032797</v>
      </c>
      <c r="G157" s="8"/>
      <c r="H157" s="8"/>
    </row>
    <row r="158" spans="1:11" s="6" customFormat="1" ht="12.75" x14ac:dyDescent="0.2">
      <c r="A158" s="13" t="s">
        <v>122</v>
      </c>
      <c r="B158" s="14" t="s">
        <v>236</v>
      </c>
      <c r="C158" s="15" t="s">
        <v>221</v>
      </c>
      <c r="D158" s="220">
        <v>1302.43539121961</v>
      </c>
      <c r="E158" s="224">
        <v>434.69874470800499</v>
      </c>
      <c r="F158" s="58">
        <v>1996.64963789169</v>
      </c>
      <c r="G158" s="8"/>
      <c r="H158" s="8"/>
    </row>
    <row r="159" spans="1:11" s="6" customFormat="1" ht="12.75" x14ac:dyDescent="0.2">
      <c r="A159" s="13" t="s">
        <v>123</v>
      </c>
      <c r="B159" s="14" t="s">
        <v>237</v>
      </c>
      <c r="C159" s="15" t="s">
        <v>221</v>
      </c>
      <c r="D159" s="224">
        <v>0</v>
      </c>
      <c r="E159" s="224">
        <v>0</v>
      </c>
      <c r="F159" s="224">
        <v>0</v>
      </c>
      <c r="G159" s="8"/>
      <c r="H159" s="8"/>
    </row>
    <row r="160" spans="1:11" s="6" customFormat="1" ht="25.5" x14ac:dyDescent="0.2">
      <c r="A160" s="13" t="s">
        <v>124</v>
      </c>
      <c r="B160" s="14" t="s">
        <v>238</v>
      </c>
      <c r="C160" s="15" t="s">
        <v>221</v>
      </c>
      <c r="D160" s="224">
        <v>471.66424655886402</v>
      </c>
      <c r="E160" s="220">
        <v>30.52853342851639</v>
      </c>
      <c r="F160" s="224">
        <v>78.875447211589901</v>
      </c>
      <c r="G160" s="8"/>
      <c r="H160" s="8"/>
    </row>
    <row r="161" spans="1:8" s="6" customFormat="1" ht="25.5" x14ac:dyDescent="0.2">
      <c r="A161" s="13" t="s">
        <v>125</v>
      </c>
      <c r="B161" s="14" t="s">
        <v>243</v>
      </c>
      <c r="C161" s="15"/>
      <c r="D161" s="224">
        <v>0</v>
      </c>
      <c r="E161" s="224">
        <v>0</v>
      </c>
      <c r="F161" s="224">
        <v>0</v>
      </c>
      <c r="G161" s="8"/>
      <c r="H161" s="8"/>
    </row>
    <row r="162" spans="1:8" s="6" customFormat="1" ht="12.75" x14ac:dyDescent="0.2">
      <c r="A162" s="13" t="s">
        <v>126</v>
      </c>
      <c r="B162" s="14" t="s">
        <v>236</v>
      </c>
      <c r="C162" s="15" t="s">
        <v>221</v>
      </c>
      <c r="D162" s="224">
        <v>0</v>
      </c>
      <c r="E162" s="224">
        <v>0</v>
      </c>
      <c r="F162" s="224">
        <v>0</v>
      </c>
      <c r="G162" s="8"/>
      <c r="H162" s="8"/>
    </row>
    <row r="163" spans="1:8" s="6" customFormat="1" ht="12.75" x14ac:dyDescent="0.2">
      <c r="A163" s="13" t="s">
        <v>127</v>
      </c>
      <c r="B163" s="14" t="s">
        <v>237</v>
      </c>
      <c r="C163" s="15" t="s">
        <v>221</v>
      </c>
      <c r="D163" s="224">
        <v>0</v>
      </c>
      <c r="E163" s="224">
        <v>0</v>
      </c>
      <c r="F163" s="224">
        <v>0</v>
      </c>
      <c r="G163" s="8"/>
      <c r="H163" s="8"/>
    </row>
    <row r="164" spans="1:8" s="6" customFormat="1" ht="25.5" x14ac:dyDescent="0.2">
      <c r="A164" s="13" t="s">
        <v>128</v>
      </c>
      <c r="B164" s="14" t="s">
        <v>238</v>
      </c>
      <c r="C164" s="15" t="s">
        <v>221</v>
      </c>
      <c r="D164" s="224">
        <v>0</v>
      </c>
      <c r="E164" s="224">
        <v>0</v>
      </c>
      <c r="F164" s="224">
        <v>0</v>
      </c>
      <c r="G164" s="8"/>
      <c r="H164" s="8"/>
    </row>
    <row r="165" spans="1:8" s="6" customFormat="1" ht="12.75" x14ac:dyDescent="0.2">
      <c r="A165" s="13" t="s">
        <v>129</v>
      </c>
      <c r="B165" s="14" t="s">
        <v>28</v>
      </c>
      <c r="C165" s="15" t="s">
        <v>221</v>
      </c>
      <c r="D165" s="224">
        <v>-9086827.5604144894</v>
      </c>
      <c r="E165" s="224">
        <v>-4189374.0839837799</v>
      </c>
      <c r="F165" s="224">
        <v>-284647.12061657</v>
      </c>
      <c r="G165" s="8"/>
      <c r="H165" s="8"/>
    </row>
    <row r="166" spans="1:8" s="6" customFormat="1" ht="25.5" x14ac:dyDescent="0.2">
      <c r="A166" s="13" t="s">
        <v>130</v>
      </c>
      <c r="B166" s="14" t="s">
        <v>244</v>
      </c>
      <c r="C166" s="15" t="s">
        <v>101</v>
      </c>
      <c r="D166" s="21">
        <v>-5.325632809571941E-2</v>
      </c>
      <c r="E166" s="21">
        <v>-0.20620854093601773</v>
      </c>
      <c r="F166" s="21">
        <v>9.1821450021159212E-3</v>
      </c>
      <c r="G166" s="8"/>
      <c r="H166" s="8"/>
    </row>
    <row r="167" spans="1:8" s="6" customFormat="1" ht="38.25" x14ac:dyDescent="0.2">
      <c r="A167" s="13" t="s">
        <v>131</v>
      </c>
      <c r="B167" s="14" t="s">
        <v>213</v>
      </c>
      <c r="C167" s="15"/>
      <c r="D167" s="269" t="s">
        <v>371</v>
      </c>
      <c r="E167" s="274"/>
      <c r="F167" s="270"/>
      <c r="G167" s="8"/>
      <c r="H167" s="8"/>
    </row>
    <row r="169" spans="1:8" x14ac:dyDescent="0.25">
      <c r="A169" s="261" t="s">
        <v>245</v>
      </c>
      <c r="B169" s="261"/>
      <c r="C169" s="261"/>
      <c r="D169" s="261"/>
      <c r="E169" s="261"/>
      <c r="F169" s="261"/>
      <c r="G169" s="67"/>
      <c r="H169" s="33"/>
    </row>
    <row r="170" spans="1:8" x14ac:dyDescent="0.25">
      <c r="A170" s="261" t="s">
        <v>246</v>
      </c>
      <c r="B170" s="261"/>
      <c r="C170" s="261"/>
      <c r="D170" s="261"/>
      <c r="E170" s="261"/>
      <c r="F170" s="261"/>
      <c r="G170" s="67"/>
      <c r="H170" s="33"/>
    </row>
    <row r="171" spans="1:8" x14ac:dyDescent="0.25">
      <c r="A171" s="261" t="s">
        <v>247</v>
      </c>
      <c r="B171" s="261"/>
      <c r="C171" s="261"/>
      <c r="D171" s="261"/>
      <c r="E171" s="261"/>
      <c r="F171" s="261"/>
      <c r="G171" s="67"/>
      <c r="H171" s="33"/>
    </row>
    <row r="172" spans="1:8" x14ac:dyDescent="0.25">
      <c r="A172" s="261" t="s">
        <v>248</v>
      </c>
      <c r="B172" s="261"/>
      <c r="C172" s="261"/>
      <c r="D172" s="261"/>
      <c r="E172" s="261"/>
      <c r="F172" s="261"/>
      <c r="G172" s="67"/>
      <c r="H172" s="33"/>
    </row>
    <row r="173" spans="1:8" x14ac:dyDescent="0.25">
      <c r="D173" s="24"/>
      <c r="E173" s="24"/>
      <c r="F173" s="24"/>
    </row>
    <row r="174" spans="1:8" x14ac:dyDescent="0.25">
      <c r="D174" s="24"/>
      <c r="E174" s="24"/>
      <c r="F174" s="24"/>
    </row>
    <row r="175" spans="1:8" x14ac:dyDescent="0.25">
      <c r="D175" s="24"/>
      <c r="E175" s="24"/>
      <c r="F175" s="24"/>
    </row>
    <row r="176" spans="1:8" x14ac:dyDescent="0.25">
      <c r="D176" s="24"/>
      <c r="E176" s="24"/>
      <c r="F176" s="24"/>
    </row>
    <row r="183" spans="11:11" x14ac:dyDescent="0.25">
      <c r="K183" s="245"/>
    </row>
  </sheetData>
  <mergeCells count="16">
    <mergeCell ref="A170:F170"/>
    <mergeCell ref="A171:F171"/>
    <mergeCell ref="A172:F172"/>
    <mergeCell ref="A3:B3"/>
    <mergeCell ref="A1:F1"/>
    <mergeCell ref="A4:F4"/>
    <mergeCell ref="A38:F38"/>
    <mergeCell ref="A128:F128"/>
    <mergeCell ref="A169:F169"/>
    <mergeCell ref="D19:F19"/>
    <mergeCell ref="E35:F35"/>
    <mergeCell ref="E121:F121"/>
    <mergeCell ref="E149:F149"/>
    <mergeCell ref="D29:F29"/>
    <mergeCell ref="D167:F167"/>
    <mergeCell ref="D127:F127"/>
  </mergeCells>
  <pageMargins left="0.78740157480314965" right="0.39370078740157483" top="0.39370078740157483" bottom="0.39370078740157483" header="0.27559055118110237" footer="0.27559055118110237"/>
  <pageSetup paperSize="9" scale="72" fitToHeight="0" orientation="portrait" r:id="rId1"/>
  <headerFooter alignWithMargins="0">
    <oddHeader>&amp;L&amp;"Arial,обычный"&amp;6Подготовлено с использованием системы ГАРАНТ</oddHeader>
  </headerFooter>
  <rowBreaks count="3" manualBreakCount="3">
    <brk id="37" max="5" man="1"/>
    <brk id="75" max="5" man="1"/>
    <brk id="127" max="5" man="1"/>
  </rowBreaks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CFFFF"/>
  </sheetPr>
  <dimension ref="A1:S506"/>
  <sheetViews>
    <sheetView view="pageBreakPreview" zoomScaleNormal="100" zoomScaleSheetLayoutView="100" workbookViewId="0">
      <pane xSplit="2" ySplit="4" topLeftCell="C11" activePane="bottomRight" state="frozen"/>
      <selection activeCell="G179" sqref="G179"/>
      <selection pane="topRight" activeCell="G179" sqref="G179"/>
      <selection pane="bottomLeft" activeCell="G179" sqref="G179"/>
      <selection pane="bottomRight" activeCell="J13" sqref="J13"/>
    </sheetView>
  </sheetViews>
  <sheetFormatPr defaultRowHeight="15" x14ac:dyDescent="0.25"/>
  <cols>
    <col min="1" max="1" width="9.140625" style="54"/>
    <col min="2" max="2" width="51.85546875" style="55" customWidth="1"/>
    <col min="3" max="3" width="12.7109375" style="54" customWidth="1"/>
    <col min="4" max="7" width="11.7109375" style="54" customWidth="1"/>
    <col min="8" max="13" width="11.7109375" style="233" customWidth="1"/>
    <col min="14" max="15" width="10" style="35" bestFit="1" customWidth="1"/>
    <col min="16" max="16384" width="9.140625" style="35"/>
  </cols>
  <sheetData>
    <row r="1" spans="1:19" ht="15.75" x14ac:dyDescent="0.25">
      <c r="A1" s="275" t="s">
        <v>132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</row>
    <row r="3" spans="1:19" ht="54" customHeight="1" x14ac:dyDescent="0.25">
      <c r="A3" s="276" t="s">
        <v>167</v>
      </c>
      <c r="B3" s="276"/>
      <c r="C3" s="276" t="s">
        <v>186</v>
      </c>
      <c r="D3" s="276" t="s">
        <v>294</v>
      </c>
      <c r="E3" s="276"/>
      <c r="F3" s="276" t="s">
        <v>295</v>
      </c>
      <c r="G3" s="276"/>
      <c r="H3" s="276" t="s">
        <v>260</v>
      </c>
      <c r="I3" s="276"/>
      <c r="J3" s="276" t="s">
        <v>267</v>
      </c>
      <c r="K3" s="276"/>
      <c r="L3" s="276" t="s">
        <v>268</v>
      </c>
      <c r="M3" s="276"/>
      <c r="N3" s="282"/>
      <c r="O3" s="282"/>
      <c r="P3" s="282"/>
      <c r="Q3" s="282"/>
      <c r="R3" s="282"/>
      <c r="S3" s="282"/>
    </row>
    <row r="4" spans="1:19" ht="25.5" x14ac:dyDescent="0.25">
      <c r="A4" s="276"/>
      <c r="B4" s="276"/>
      <c r="C4" s="276"/>
      <c r="D4" s="231" t="s">
        <v>63</v>
      </c>
      <c r="E4" s="231" t="s">
        <v>64</v>
      </c>
      <c r="F4" s="231" t="s">
        <v>63</v>
      </c>
      <c r="G4" s="231" t="s">
        <v>64</v>
      </c>
      <c r="H4" s="241">
        <v>46023</v>
      </c>
      <c r="I4" s="241">
        <v>46296</v>
      </c>
      <c r="J4" s="231" t="s">
        <v>63</v>
      </c>
      <c r="K4" s="231" t="s">
        <v>64</v>
      </c>
      <c r="L4" s="231" t="s">
        <v>63</v>
      </c>
      <c r="M4" s="231" t="s">
        <v>64</v>
      </c>
    </row>
    <row r="5" spans="1:19" ht="25.5" x14ac:dyDescent="0.25">
      <c r="A5" s="37" t="s">
        <v>21</v>
      </c>
      <c r="B5" s="38" t="s">
        <v>269</v>
      </c>
      <c r="C5" s="39"/>
      <c r="D5" s="230"/>
      <c r="E5" s="230"/>
      <c r="F5" s="230"/>
      <c r="G5" s="230"/>
      <c r="H5" s="230"/>
      <c r="I5" s="230"/>
      <c r="J5" s="230"/>
      <c r="K5" s="230"/>
      <c r="L5" s="230"/>
      <c r="M5" s="230"/>
    </row>
    <row r="6" spans="1:19" ht="25.5" x14ac:dyDescent="0.25">
      <c r="A6" s="277" t="s">
        <v>22</v>
      </c>
      <c r="B6" s="38" t="s">
        <v>270</v>
      </c>
      <c r="C6" s="39"/>
      <c r="D6" s="230"/>
      <c r="E6" s="230"/>
      <c r="F6" s="230"/>
      <c r="G6" s="230"/>
      <c r="H6" s="230"/>
      <c r="I6" s="230"/>
      <c r="J6" s="230"/>
      <c r="K6" s="230"/>
      <c r="L6" s="230"/>
      <c r="M6" s="230"/>
    </row>
    <row r="7" spans="1:19" ht="138" customHeight="1" x14ac:dyDescent="0.25">
      <c r="A7" s="277"/>
      <c r="B7" s="38" t="s">
        <v>271</v>
      </c>
      <c r="C7" s="36" t="s">
        <v>133</v>
      </c>
      <c r="D7" s="278" t="s">
        <v>272</v>
      </c>
      <c r="E7" s="279"/>
      <c r="F7" s="279"/>
      <c r="G7" s="279"/>
      <c r="H7" s="279"/>
      <c r="I7" s="279"/>
      <c r="J7" s="279"/>
      <c r="K7" s="279"/>
      <c r="L7" s="279"/>
      <c r="M7" s="279"/>
    </row>
    <row r="8" spans="1:19" ht="109.5" customHeight="1" x14ac:dyDescent="0.25">
      <c r="A8" s="277"/>
      <c r="B8" s="38" t="s">
        <v>296</v>
      </c>
      <c r="C8" s="36" t="s">
        <v>134</v>
      </c>
      <c r="D8" s="278" t="s">
        <v>272</v>
      </c>
      <c r="E8" s="279"/>
      <c r="F8" s="279"/>
      <c r="G8" s="279"/>
      <c r="H8" s="279"/>
      <c r="I8" s="279"/>
      <c r="J8" s="279"/>
      <c r="K8" s="279"/>
      <c r="L8" s="279"/>
      <c r="M8" s="279"/>
    </row>
    <row r="9" spans="1:19" x14ac:dyDescent="0.25">
      <c r="A9" s="277" t="s">
        <v>25</v>
      </c>
      <c r="B9" s="38" t="s">
        <v>273</v>
      </c>
      <c r="C9" s="37"/>
      <c r="D9" s="37"/>
      <c r="E9" s="37"/>
      <c r="F9" s="37"/>
      <c r="G9" s="37"/>
      <c r="H9" s="39"/>
      <c r="I9" s="39"/>
      <c r="J9" s="39"/>
      <c r="K9" s="39"/>
      <c r="L9" s="39"/>
      <c r="M9" s="39"/>
    </row>
    <row r="10" spans="1:19" x14ac:dyDescent="0.25">
      <c r="A10" s="277"/>
      <c r="B10" s="38" t="s">
        <v>135</v>
      </c>
      <c r="C10" s="37"/>
      <c r="D10" s="37"/>
      <c r="E10" s="37"/>
      <c r="F10" s="37"/>
      <c r="G10" s="37"/>
      <c r="H10" s="39"/>
      <c r="I10" s="39"/>
      <c r="J10" s="39"/>
      <c r="K10" s="39"/>
      <c r="L10" s="39"/>
      <c r="M10" s="39"/>
    </row>
    <row r="11" spans="1:19" ht="24" x14ac:dyDescent="0.25">
      <c r="A11" s="277"/>
      <c r="B11" s="38" t="s">
        <v>136</v>
      </c>
      <c r="C11" s="40" t="s">
        <v>133</v>
      </c>
      <c r="D11" s="278" t="s">
        <v>272</v>
      </c>
      <c r="E11" s="279"/>
      <c r="F11" s="279"/>
      <c r="G11" s="279"/>
      <c r="H11" s="279"/>
      <c r="I11" s="279"/>
      <c r="J11" s="279"/>
      <c r="K11" s="279"/>
      <c r="L11" s="279"/>
      <c r="M11" s="279"/>
    </row>
    <row r="12" spans="1:19" ht="24" x14ac:dyDescent="0.25">
      <c r="A12" s="277"/>
      <c r="B12" s="38" t="s">
        <v>274</v>
      </c>
      <c r="C12" s="40" t="s">
        <v>134</v>
      </c>
      <c r="D12" s="278" t="s">
        <v>272</v>
      </c>
      <c r="E12" s="279"/>
      <c r="F12" s="279"/>
      <c r="G12" s="279"/>
      <c r="H12" s="279"/>
      <c r="I12" s="279"/>
      <c r="J12" s="279"/>
      <c r="K12" s="279"/>
      <c r="L12" s="279"/>
      <c r="M12" s="279"/>
    </row>
    <row r="13" spans="1:19" ht="24" x14ac:dyDescent="0.25">
      <c r="A13" s="277"/>
      <c r="B13" s="38" t="s">
        <v>137</v>
      </c>
      <c r="C13" s="40" t="s">
        <v>134</v>
      </c>
      <c r="D13" s="56">
        <v>2028.0419197524941</v>
      </c>
      <c r="E13" s="56">
        <v>2188.0193056490439</v>
      </c>
      <c r="F13" s="56">
        <v>2453.16905509865</v>
      </c>
      <c r="G13" s="56">
        <v>2724.7869252359901</v>
      </c>
      <c r="H13" s="56">
        <v>12274.7575086784</v>
      </c>
      <c r="I13" s="56">
        <v>12274.7575086784</v>
      </c>
      <c r="J13" s="56">
        <v>12274.7575086784</v>
      </c>
      <c r="K13" s="56">
        <v>13923.8301986022</v>
      </c>
      <c r="L13" s="56" t="s">
        <v>261</v>
      </c>
      <c r="M13" s="56" t="s">
        <v>261</v>
      </c>
      <c r="P13" s="47"/>
    </row>
    <row r="14" spans="1:19" ht="24" x14ac:dyDescent="0.25">
      <c r="A14" s="37" t="s">
        <v>29</v>
      </c>
      <c r="B14" s="38" t="s">
        <v>275</v>
      </c>
      <c r="C14" s="40" t="s">
        <v>134</v>
      </c>
      <c r="D14" s="278" t="s">
        <v>276</v>
      </c>
      <c r="E14" s="279"/>
      <c r="F14" s="279"/>
      <c r="G14" s="279"/>
      <c r="H14" s="279"/>
      <c r="I14" s="279"/>
      <c r="J14" s="279"/>
      <c r="K14" s="279"/>
      <c r="L14" s="279"/>
      <c r="M14" s="279"/>
    </row>
    <row r="15" spans="1:19" s="44" customFormat="1" x14ac:dyDescent="0.25">
      <c r="A15" s="37" t="s">
        <v>32</v>
      </c>
      <c r="B15" s="38" t="s">
        <v>277</v>
      </c>
      <c r="C15" s="43"/>
      <c r="D15" s="37"/>
      <c r="E15" s="37"/>
      <c r="F15" s="37"/>
      <c r="G15" s="37"/>
      <c r="H15" s="39"/>
      <c r="I15" s="39"/>
      <c r="J15" s="39"/>
      <c r="K15" s="39"/>
      <c r="L15" s="39"/>
      <c r="M15" s="39"/>
    </row>
    <row r="16" spans="1:19" ht="25.5" x14ac:dyDescent="0.25">
      <c r="A16" s="37" t="s">
        <v>33</v>
      </c>
      <c r="B16" s="38" t="s">
        <v>278</v>
      </c>
      <c r="C16" s="40" t="s">
        <v>134</v>
      </c>
      <c r="D16" s="206">
        <v>90</v>
      </c>
      <c r="E16" s="206">
        <v>89.999999999999986</v>
      </c>
      <c r="F16" s="41">
        <v>89.999999983926855</v>
      </c>
      <c r="G16" s="41">
        <v>99.999999982401036</v>
      </c>
      <c r="H16" s="206">
        <v>99.999999982401093</v>
      </c>
      <c r="I16" s="206">
        <v>111.733581646582</v>
      </c>
      <c r="J16" s="242" t="s">
        <v>261</v>
      </c>
      <c r="K16" s="242" t="s">
        <v>261</v>
      </c>
      <c r="L16" s="242" t="s">
        <v>261</v>
      </c>
      <c r="M16" s="242" t="s">
        <v>261</v>
      </c>
      <c r="N16" s="218"/>
    </row>
    <row r="17" spans="1:15" ht="38.25" x14ac:dyDescent="0.25">
      <c r="A17" s="37" t="s">
        <v>35</v>
      </c>
      <c r="B17" s="38" t="s">
        <v>279</v>
      </c>
      <c r="C17" s="40" t="s">
        <v>134</v>
      </c>
      <c r="D17" s="45">
        <v>90</v>
      </c>
      <c r="E17" s="45">
        <v>89.999999999999986</v>
      </c>
      <c r="F17" s="45">
        <v>89.999999983926855</v>
      </c>
      <c r="G17" s="45">
        <v>99.999999982401036</v>
      </c>
      <c r="H17" s="206">
        <v>99.999999982401093</v>
      </c>
      <c r="I17" s="206">
        <v>111.733581646582</v>
      </c>
      <c r="J17" s="242" t="s">
        <v>261</v>
      </c>
      <c r="K17" s="242" t="s">
        <v>261</v>
      </c>
      <c r="L17" s="242" t="s">
        <v>261</v>
      </c>
      <c r="M17" s="242" t="s">
        <v>261</v>
      </c>
    </row>
    <row r="18" spans="1:15" ht="24" x14ac:dyDescent="0.25">
      <c r="A18" s="277" t="s">
        <v>37</v>
      </c>
      <c r="B18" s="38" t="s">
        <v>280</v>
      </c>
      <c r="C18" s="40" t="s">
        <v>134</v>
      </c>
      <c r="D18" s="45"/>
      <c r="E18" s="45"/>
      <c r="F18" s="37"/>
      <c r="G18" s="37"/>
      <c r="H18" s="242"/>
      <c r="I18" s="242"/>
      <c r="J18" s="242"/>
      <c r="K18" s="242"/>
      <c r="L18" s="242"/>
      <c r="M18" s="242"/>
    </row>
    <row r="19" spans="1:15" ht="24" x14ac:dyDescent="0.25">
      <c r="A19" s="277"/>
      <c r="B19" s="38" t="s">
        <v>86</v>
      </c>
      <c r="C19" s="40" t="s">
        <v>134</v>
      </c>
      <c r="D19" s="45">
        <v>90</v>
      </c>
      <c r="E19" s="45">
        <v>89.999999999999986</v>
      </c>
      <c r="F19" s="45">
        <v>89.999999983926855</v>
      </c>
      <c r="G19" s="45">
        <v>99.999999982401036</v>
      </c>
      <c r="H19" s="206">
        <v>99.999999982401093</v>
      </c>
      <c r="I19" s="206">
        <v>111.733581646582</v>
      </c>
      <c r="J19" s="242" t="s">
        <v>261</v>
      </c>
      <c r="K19" s="242" t="s">
        <v>261</v>
      </c>
      <c r="L19" s="242" t="s">
        <v>261</v>
      </c>
      <c r="M19" s="242" t="s">
        <v>261</v>
      </c>
    </row>
    <row r="20" spans="1:15" ht="24" x14ac:dyDescent="0.25">
      <c r="A20" s="277"/>
      <c r="B20" s="38" t="s">
        <v>87</v>
      </c>
      <c r="C20" s="40" t="s">
        <v>134</v>
      </c>
      <c r="D20" s="45">
        <v>90</v>
      </c>
      <c r="E20" s="45">
        <v>89.999999999999986</v>
      </c>
      <c r="F20" s="45">
        <v>89.999999983926855</v>
      </c>
      <c r="G20" s="45">
        <v>99.999999982401036</v>
      </c>
      <c r="H20" s="206">
        <v>99.999999982401093</v>
      </c>
      <c r="I20" s="206">
        <v>111.733581646582</v>
      </c>
      <c r="J20" s="242" t="s">
        <v>261</v>
      </c>
      <c r="K20" s="242" t="s">
        <v>261</v>
      </c>
      <c r="L20" s="242" t="s">
        <v>261</v>
      </c>
      <c r="M20" s="242" t="s">
        <v>261</v>
      </c>
    </row>
    <row r="21" spans="1:15" ht="24" x14ac:dyDescent="0.25">
      <c r="A21" s="277"/>
      <c r="B21" s="38" t="s">
        <v>88</v>
      </c>
      <c r="C21" s="40" t="s">
        <v>134</v>
      </c>
      <c r="D21" s="45">
        <v>90</v>
      </c>
      <c r="E21" s="45">
        <v>89.999999999999986</v>
      </c>
      <c r="F21" s="45">
        <v>89.999999983926855</v>
      </c>
      <c r="G21" s="45">
        <v>99.999999982401036</v>
      </c>
      <c r="H21" s="206">
        <v>99.999999982401093</v>
      </c>
      <c r="I21" s="206">
        <v>111.733581646582</v>
      </c>
      <c r="J21" s="242" t="s">
        <v>261</v>
      </c>
      <c r="K21" s="242" t="s">
        <v>261</v>
      </c>
      <c r="L21" s="242" t="s">
        <v>261</v>
      </c>
      <c r="M21" s="242" t="s">
        <v>261</v>
      </c>
    </row>
    <row r="22" spans="1:15" x14ac:dyDescent="0.25">
      <c r="A22" s="37" t="s">
        <v>44</v>
      </c>
      <c r="B22" s="38" t="s">
        <v>138</v>
      </c>
      <c r="C22" s="46"/>
      <c r="D22" s="37"/>
      <c r="E22" s="37"/>
      <c r="F22" s="37"/>
      <c r="G22" s="37"/>
      <c r="H22" s="242"/>
      <c r="I22" s="242"/>
      <c r="J22" s="242"/>
      <c r="K22" s="242"/>
      <c r="L22" s="242"/>
      <c r="M22" s="242"/>
    </row>
    <row r="23" spans="1:15" ht="24" x14ac:dyDescent="0.25">
      <c r="A23" s="277" t="s">
        <v>45</v>
      </c>
      <c r="B23" s="38" t="s">
        <v>281</v>
      </c>
      <c r="C23" s="40" t="s">
        <v>139</v>
      </c>
      <c r="D23" s="56">
        <v>34391.845028189739</v>
      </c>
      <c r="E23" s="56">
        <v>32453.530678563944</v>
      </c>
      <c r="F23" s="41">
        <v>39523.274855509619</v>
      </c>
      <c r="G23" s="41">
        <v>45511.18746408791</v>
      </c>
      <c r="H23" s="56">
        <v>35961.242491339202</v>
      </c>
      <c r="I23" s="56">
        <v>36686.964139689801</v>
      </c>
      <c r="J23" s="242" t="s">
        <v>261</v>
      </c>
      <c r="K23" s="242" t="s">
        <v>261</v>
      </c>
      <c r="L23" s="242" t="s">
        <v>261</v>
      </c>
      <c r="M23" s="242" t="s">
        <v>261</v>
      </c>
      <c r="N23" s="47"/>
      <c r="O23" s="47"/>
    </row>
    <row r="24" spans="1:15" ht="24" x14ac:dyDescent="0.25">
      <c r="A24" s="277"/>
      <c r="B24" s="38" t="s">
        <v>282</v>
      </c>
      <c r="C24" s="40" t="s">
        <v>139</v>
      </c>
      <c r="D24" s="56">
        <v>7901.5548207574429</v>
      </c>
      <c r="E24" s="56">
        <v>8625.7062350986198</v>
      </c>
      <c r="F24" s="41">
        <v>13312.43472904075</v>
      </c>
      <c r="G24" s="41">
        <v>13744.071729937594</v>
      </c>
      <c r="H24" s="56">
        <v>13316.774155238565</v>
      </c>
      <c r="I24" s="56">
        <v>13769.168893797745</v>
      </c>
      <c r="J24" s="242" t="s">
        <v>261</v>
      </c>
      <c r="K24" s="242" t="s">
        <v>261</v>
      </c>
      <c r="L24" s="242" t="s">
        <v>261</v>
      </c>
      <c r="M24" s="242" t="s">
        <v>261</v>
      </c>
      <c r="N24" s="47"/>
      <c r="O24" s="47"/>
    </row>
    <row r="25" spans="1:15" ht="24" x14ac:dyDescent="0.25">
      <c r="A25" s="37" t="s">
        <v>49</v>
      </c>
      <c r="B25" s="38" t="s">
        <v>283</v>
      </c>
      <c r="C25" s="40" t="s">
        <v>133</v>
      </c>
      <c r="D25" s="278" t="s">
        <v>284</v>
      </c>
      <c r="E25" s="279"/>
      <c r="F25" s="279"/>
      <c r="G25" s="279"/>
      <c r="H25" s="279"/>
      <c r="I25" s="279"/>
      <c r="J25" s="279"/>
      <c r="K25" s="279"/>
      <c r="L25" s="279"/>
      <c r="M25" s="279"/>
      <c r="N25" s="48"/>
      <c r="O25" s="48"/>
    </row>
    <row r="26" spans="1:15" x14ac:dyDescent="0.25">
      <c r="A26" s="280" t="s">
        <v>50</v>
      </c>
      <c r="B26" s="38" t="s">
        <v>285</v>
      </c>
      <c r="C26" s="43" t="s">
        <v>144</v>
      </c>
      <c r="D26" s="42"/>
      <c r="E26" s="42"/>
      <c r="F26" s="42"/>
      <c r="G26" s="42"/>
      <c r="H26" s="39"/>
      <c r="I26" s="39"/>
      <c r="J26" s="39"/>
      <c r="K26" s="39"/>
      <c r="L26" s="39"/>
      <c r="M26" s="39"/>
    </row>
    <row r="27" spans="1:15" x14ac:dyDescent="0.25">
      <c r="A27" s="281"/>
      <c r="B27" s="38" t="s">
        <v>286</v>
      </c>
      <c r="C27" s="43" t="s">
        <v>144</v>
      </c>
      <c r="D27" s="56">
        <v>4137.3099999665465</v>
      </c>
      <c r="E27" s="56">
        <v>5469.7999999999993</v>
      </c>
      <c r="F27" s="56">
        <v>5125.149998916585</v>
      </c>
      <c r="G27" s="56">
        <v>5125.1455470239898</v>
      </c>
      <c r="H27" s="56">
        <v>5125.145547023988</v>
      </c>
      <c r="I27" s="56">
        <v>10137.583379946987</v>
      </c>
      <c r="J27" s="56">
        <v>6836.698528544759</v>
      </c>
      <c r="K27" s="56">
        <v>6836.6985285447599</v>
      </c>
      <c r="L27" s="56">
        <v>6836.6985285447599</v>
      </c>
      <c r="M27" s="56">
        <v>7452.7091712476195</v>
      </c>
    </row>
    <row r="28" spans="1:15" x14ac:dyDescent="0.25">
      <c r="A28" s="281"/>
      <c r="B28" s="38" t="s">
        <v>287</v>
      </c>
      <c r="C28" s="43" t="s">
        <v>144</v>
      </c>
      <c r="D28" s="56">
        <v>7225.86</v>
      </c>
      <c r="E28" s="56">
        <v>9266.94</v>
      </c>
      <c r="F28" s="56">
        <v>9266.9399956909274</v>
      </c>
      <c r="G28" s="56">
        <v>11350.029434976803</v>
      </c>
      <c r="H28" s="56">
        <v>11350.029434976803</v>
      </c>
      <c r="I28" s="56">
        <v>14029.423045144247</v>
      </c>
      <c r="J28" s="56">
        <v>12519.777047456519</v>
      </c>
      <c r="K28" s="56">
        <v>12519.777047456517</v>
      </c>
      <c r="L28" s="56">
        <v>12519.777047456519</v>
      </c>
      <c r="M28" s="56">
        <v>13617.360685335914</v>
      </c>
    </row>
    <row r="29" spans="1:15" s="44" customFormat="1" x14ac:dyDescent="0.25">
      <c r="A29" s="37" t="s">
        <v>141</v>
      </c>
      <c r="B29" s="38" t="s">
        <v>288</v>
      </c>
      <c r="C29" s="43" t="s">
        <v>144</v>
      </c>
      <c r="D29" s="230" t="s">
        <v>261</v>
      </c>
      <c r="E29" s="230" t="s">
        <v>261</v>
      </c>
      <c r="F29" s="230" t="s">
        <v>261</v>
      </c>
      <c r="G29" s="230" t="s">
        <v>261</v>
      </c>
      <c r="H29" s="230" t="s">
        <v>261</v>
      </c>
      <c r="I29" s="230" t="s">
        <v>261</v>
      </c>
      <c r="J29" s="230" t="s">
        <v>261</v>
      </c>
      <c r="K29" s="230" t="s">
        <v>261</v>
      </c>
      <c r="L29" s="230" t="s">
        <v>261</v>
      </c>
      <c r="M29" s="230" t="s">
        <v>261</v>
      </c>
    </row>
    <row r="30" spans="1:15" s="44" customFormat="1" x14ac:dyDescent="0.25">
      <c r="A30" s="277" t="s">
        <v>142</v>
      </c>
      <c r="B30" s="38" t="s">
        <v>289</v>
      </c>
      <c r="C30" s="43" t="s">
        <v>144</v>
      </c>
      <c r="D30" s="230" t="s">
        <v>261</v>
      </c>
      <c r="E30" s="230" t="s">
        <v>261</v>
      </c>
      <c r="F30" s="230" t="s">
        <v>261</v>
      </c>
      <c r="G30" s="230" t="s">
        <v>261</v>
      </c>
      <c r="H30" s="230" t="s">
        <v>261</v>
      </c>
      <c r="I30" s="230" t="s">
        <v>261</v>
      </c>
      <c r="J30" s="230" t="s">
        <v>261</v>
      </c>
      <c r="K30" s="230" t="s">
        <v>261</v>
      </c>
      <c r="L30" s="230" t="s">
        <v>261</v>
      </c>
      <c r="M30" s="230" t="s">
        <v>261</v>
      </c>
    </row>
    <row r="31" spans="1:15" s="44" customFormat="1" ht="15.75" x14ac:dyDescent="0.25">
      <c r="A31" s="277"/>
      <c r="B31" s="38" t="s">
        <v>143</v>
      </c>
      <c r="C31" s="43" t="s">
        <v>144</v>
      </c>
      <c r="D31" s="230" t="s">
        <v>261</v>
      </c>
      <c r="E31" s="230" t="s">
        <v>261</v>
      </c>
      <c r="F31" s="230" t="s">
        <v>261</v>
      </c>
      <c r="G31" s="230" t="s">
        <v>261</v>
      </c>
      <c r="H31" s="230" t="s">
        <v>261</v>
      </c>
      <c r="I31" s="230" t="s">
        <v>261</v>
      </c>
      <c r="J31" s="230" t="s">
        <v>261</v>
      </c>
      <c r="K31" s="230" t="s">
        <v>261</v>
      </c>
      <c r="L31" s="230" t="s">
        <v>261</v>
      </c>
      <c r="M31" s="230" t="s">
        <v>261</v>
      </c>
    </row>
    <row r="32" spans="1:15" s="44" customFormat="1" ht="15.75" x14ac:dyDescent="0.25">
      <c r="A32" s="277"/>
      <c r="B32" s="38" t="s">
        <v>145</v>
      </c>
      <c r="C32" s="43" t="s">
        <v>144</v>
      </c>
      <c r="D32" s="230" t="s">
        <v>261</v>
      </c>
      <c r="E32" s="230" t="s">
        <v>261</v>
      </c>
      <c r="F32" s="230" t="s">
        <v>261</v>
      </c>
      <c r="G32" s="230" t="s">
        <v>261</v>
      </c>
      <c r="H32" s="230" t="s">
        <v>261</v>
      </c>
      <c r="I32" s="230" t="s">
        <v>261</v>
      </c>
      <c r="J32" s="230" t="s">
        <v>261</v>
      </c>
      <c r="K32" s="230" t="s">
        <v>261</v>
      </c>
      <c r="L32" s="230" t="s">
        <v>261</v>
      </c>
      <c r="M32" s="230" t="s">
        <v>261</v>
      </c>
    </row>
    <row r="33" spans="1:13" s="44" customFormat="1" ht="15.75" x14ac:dyDescent="0.25">
      <c r="A33" s="277"/>
      <c r="B33" s="38" t="s">
        <v>146</v>
      </c>
      <c r="C33" s="43" t="s">
        <v>144</v>
      </c>
      <c r="D33" s="230" t="s">
        <v>261</v>
      </c>
      <c r="E33" s="230" t="s">
        <v>261</v>
      </c>
      <c r="F33" s="230" t="s">
        <v>261</v>
      </c>
      <c r="G33" s="230" t="s">
        <v>261</v>
      </c>
      <c r="H33" s="230" t="s">
        <v>261</v>
      </c>
      <c r="I33" s="230" t="s">
        <v>261</v>
      </c>
      <c r="J33" s="230" t="s">
        <v>261</v>
      </c>
      <c r="K33" s="230" t="s">
        <v>261</v>
      </c>
      <c r="L33" s="230" t="s">
        <v>261</v>
      </c>
      <c r="M33" s="230" t="s">
        <v>261</v>
      </c>
    </row>
    <row r="34" spans="1:13" s="44" customFormat="1" ht="15.75" x14ac:dyDescent="0.25">
      <c r="A34" s="277"/>
      <c r="B34" s="38" t="s">
        <v>147</v>
      </c>
      <c r="C34" s="43" t="s">
        <v>144</v>
      </c>
      <c r="D34" s="230" t="s">
        <v>261</v>
      </c>
      <c r="E34" s="230" t="s">
        <v>261</v>
      </c>
      <c r="F34" s="230" t="s">
        <v>261</v>
      </c>
      <c r="G34" s="230" t="s">
        <v>261</v>
      </c>
      <c r="H34" s="230" t="s">
        <v>261</v>
      </c>
      <c r="I34" s="230" t="s">
        <v>261</v>
      </c>
      <c r="J34" s="230" t="s">
        <v>261</v>
      </c>
      <c r="K34" s="230" t="s">
        <v>261</v>
      </c>
      <c r="L34" s="230" t="s">
        <v>261</v>
      </c>
      <c r="M34" s="230" t="s">
        <v>261</v>
      </c>
    </row>
    <row r="35" spans="1:13" s="44" customFormat="1" x14ac:dyDescent="0.25">
      <c r="A35" s="37" t="s">
        <v>148</v>
      </c>
      <c r="B35" s="38" t="s">
        <v>290</v>
      </c>
      <c r="C35" s="43" t="s">
        <v>144</v>
      </c>
      <c r="D35" s="230" t="s">
        <v>261</v>
      </c>
      <c r="E35" s="230" t="s">
        <v>261</v>
      </c>
      <c r="F35" s="230" t="s">
        <v>261</v>
      </c>
      <c r="G35" s="230" t="s">
        <v>261</v>
      </c>
      <c r="H35" s="230" t="s">
        <v>261</v>
      </c>
      <c r="I35" s="230" t="s">
        <v>261</v>
      </c>
      <c r="J35" s="230" t="s">
        <v>261</v>
      </c>
      <c r="K35" s="230" t="s">
        <v>261</v>
      </c>
      <c r="L35" s="230" t="s">
        <v>261</v>
      </c>
      <c r="M35" s="230" t="s">
        <v>261</v>
      </c>
    </row>
    <row r="36" spans="1:13" s="44" customFormat="1" x14ac:dyDescent="0.25">
      <c r="A36" s="37" t="s">
        <v>51</v>
      </c>
      <c r="B36" s="38" t="s">
        <v>291</v>
      </c>
      <c r="C36" s="43"/>
      <c r="D36" s="230" t="s">
        <v>261</v>
      </c>
      <c r="E36" s="230" t="s">
        <v>261</v>
      </c>
      <c r="F36" s="230" t="s">
        <v>261</v>
      </c>
      <c r="G36" s="230" t="s">
        <v>261</v>
      </c>
      <c r="H36" s="230" t="s">
        <v>261</v>
      </c>
      <c r="I36" s="230" t="s">
        <v>261</v>
      </c>
      <c r="J36" s="230" t="s">
        <v>261</v>
      </c>
      <c r="K36" s="230" t="s">
        <v>261</v>
      </c>
      <c r="L36" s="230" t="s">
        <v>261</v>
      </c>
      <c r="M36" s="230" t="s">
        <v>261</v>
      </c>
    </row>
    <row r="37" spans="1:13" s="44" customFormat="1" ht="36" x14ac:dyDescent="0.25">
      <c r="A37" s="37" t="s">
        <v>52</v>
      </c>
      <c r="B37" s="38" t="s">
        <v>292</v>
      </c>
      <c r="C37" s="40" t="s">
        <v>150</v>
      </c>
      <c r="D37" s="49" t="s">
        <v>261</v>
      </c>
      <c r="E37" s="49" t="s">
        <v>261</v>
      </c>
      <c r="F37" s="49" t="s">
        <v>261</v>
      </c>
      <c r="G37" s="49" t="s">
        <v>261</v>
      </c>
      <c r="H37" s="49" t="s">
        <v>261</v>
      </c>
      <c r="I37" s="49" t="s">
        <v>261</v>
      </c>
      <c r="J37" s="49" t="s">
        <v>261</v>
      </c>
      <c r="K37" s="49" t="s">
        <v>261</v>
      </c>
      <c r="L37" s="49" t="s">
        <v>261</v>
      </c>
      <c r="M37" s="49" t="s">
        <v>261</v>
      </c>
    </row>
    <row r="38" spans="1:13" s="44" customFormat="1" x14ac:dyDescent="0.25">
      <c r="A38" s="37" t="s">
        <v>149</v>
      </c>
      <c r="B38" s="38" t="s">
        <v>140</v>
      </c>
      <c r="C38" s="43" t="s">
        <v>144</v>
      </c>
      <c r="D38" s="49" t="s">
        <v>261</v>
      </c>
      <c r="E38" s="49" t="s">
        <v>261</v>
      </c>
      <c r="F38" s="49" t="s">
        <v>261</v>
      </c>
      <c r="G38" s="49" t="s">
        <v>261</v>
      </c>
      <c r="H38" s="49" t="s">
        <v>261</v>
      </c>
      <c r="I38" s="49" t="s">
        <v>261</v>
      </c>
      <c r="J38" s="49" t="s">
        <v>261</v>
      </c>
      <c r="K38" s="49" t="s">
        <v>261</v>
      </c>
      <c r="L38" s="49" t="s">
        <v>261</v>
      </c>
      <c r="M38" s="49" t="s">
        <v>261</v>
      </c>
    </row>
    <row r="39" spans="1:13" s="44" customFormat="1" ht="24" x14ac:dyDescent="0.25">
      <c r="A39" s="277" t="s">
        <v>53</v>
      </c>
      <c r="B39" s="38" t="s">
        <v>293</v>
      </c>
      <c r="C39" s="40" t="s">
        <v>151</v>
      </c>
      <c r="D39" s="50"/>
      <c r="E39" s="50"/>
      <c r="F39" s="50"/>
      <c r="G39" s="50"/>
      <c r="H39" s="50"/>
      <c r="I39" s="50"/>
      <c r="J39" s="50"/>
      <c r="K39" s="50"/>
      <c r="L39" s="50"/>
      <c r="M39" s="50"/>
    </row>
    <row r="40" spans="1:13" ht="24" x14ac:dyDescent="0.25">
      <c r="A40" s="277"/>
      <c r="B40" s="38" t="s">
        <v>152</v>
      </c>
      <c r="C40" s="40" t="s">
        <v>151</v>
      </c>
      <c r="D40" s="50"/>
      <c r="E40" s="50"/>
      <c r="F40" s="50"/>
      <c r="G40" s="50"/>
      <c r="H40" s="50"/>
      <c r="I40" s="50"/>
      <c r="J40" s="50"/>
      <c r="K40" s="50"/>
      <c r="L40" s="50"/>
      <c r="M40" s="50"/>
    </row>
    <row r="41" spans="1:13" ht="24" x14ac:dyDescent="0.25">
      <c r="A41" s="277"/>
      <c r="B41" s="38" t="s">
        <v>286</v>
      </c>
      <c r="C41" s="40" t="s">
        <v>151</v>
      </c>
      <c r="D41" s="56">
        <v>229.81999852173058</v>
      </c>
      <c r="E41" s="56">
        <v>327.35999936827801</v>
      </c>
      <c r="F41" s="56">
        <v>322.5763</v>
      </c>
      <c r="G41" s="56">
        <v>322.57639999999998</v>
      </c>
      <c r="H41" s="56">
        <v>322.57639999999998</v>
      </c>
      <c r="I41" s="56">
        <v>447.67919999999998</v>
      </c>
      <c r="J41" s="56">
        <v>365.61</v>
      </c>
      <c r="K41" s="56">
        <v>365.61</v>
      </c>
      <c r="L41" s="56">
        <v>365.61</v>
      </c>
      <c r="M41" s="56">
        <v>396.12</v>
      </c>
    </row>
    <row r="42" spans="1:13" ht="24" x14ac:dyDescent="0.25">
      <c r="A42" s="277"/>
      <c r="B42" s="38" t="s">
        <v>287</v>
      </c>
      <c r="C42" s="40" t="s">
        <v>151</v>
      </c>
      <c r="D42" s="56">
        <v>42.889999999999993</v>
      </c>
      <c r="E42" s="56">
        <v>46.700000000000017</v>
      </c>
      <c r="F42" s="56">
        <v>46.697017730444273</v>
      </c>
      <c r="G42" s="56">
        <v>79.589448641564644</v>
      </c>
      <c r="H42" s="56">
        <v>58.740490938898368</v>
      </c>
      <c r="I42" s="56">
        <v>58.740490938898354</v>
      </c>
      <c r="J42" s="56">
        <v>58.740490938898354</v>
      </c>
      <c r="K42" s="56">
        <v>62.838821454696344</v>
      </c>
      <c r="L42" s="56">
        <v>62.250692161420488</v>
      </c>
      <c r="M42" s="56">
        <v>62.250692161420496</v>
      </c>
    </row>
    <row r="43" spans="1:13" ht="24" x14ac:dyDescent="0.25">
      <c r="A43" s="277"/>
      <c r="B43" s="38" t="s">
        <v>153</v>
      </c>
      <c r="C43" s="40" t="s">
        <v>151</v>
      </c>
      <c r="D43" s="37" t="s">
        <v>261</v>
      </c>
      <c r="E43" s="37" t="s">
        <v>261</v>
      </c>
      <c r="F43" s="37" t="s">
        <v>261</v>
      </c>
      <c r="G43" s="37" t="s">
        <v>261</v>
      </c>
      <c r="H43" s="219" t="s">
        <v>261</v>
      </c>
      <c r="I43" s="219" t="s">
        <v>261</v>
      </c>
      <c r="J43" s="219" t="s">
        <v>261</v>
      </c>
      <c r="K43" s="219" t="s">
        <v>261</v>
      </c>
      <c r="L43" s="219" t="s">
        <v>261</v>
      </c>
      <c r="M43" s="219" t="s">
        <v>261</v>
      </c>
    </row>
    <row r="44" spans="1:13" x14ac:dyDescent="0.25">
      <c r="A44" s="51"/>
      <c r="B44" s="52"/>
      <c r="C44" s="51"/>
      <c r="D44" s="51"/>
      <c r="E44" s="51"/>
      <c r="F44" s="51"/>
      <c r="G44" s="51"/>
    </row>
    <row r="45" spans="1:13" x14ac:dyDescent="0.25">
      <c r="A45" s="51"/>
      <c r="B45" s="52"/>
      <c r="C45" s="51"/>
      <c r="D45" s="51"/>
      <c r="E45" s="51"/>
      <c r="F45" s="51"/>
      <c r="G45" s="51"/>
    </row>
    <row r="46" spans="1:13" ht="15" customHeight="1" x14ac:dyDescent="0.25">
      <c r="A46" s="261" t="s">
        <v>245</v>
      </c>
      <c r="B46" s="261"/>
      <c r="C46" s="261"/>
      <c r="D46" s="261"/>
      <c r="E46" s="261"/>
      <c r="F46" s="261"/>
      <c r="G46" s="261"/>
      <c r="H46" s="261"/>
      <c r="I46" s="261"/>
      <c r="J46" s="261"/>
      <c r="K46" s="261"/>
      <c r="L46" s="261"/>
      <c r="M46" s="261"/>
    </row>
    <row r="47" spans="1:13" ht="15" customHeight="1" x14ac:dyDescent="0.25">
      <c r="A47" s="261" t="s">
        <v>246</v>
      </c>
      <c r="B47" s="261"/>
      <c r="C47" s="261"/>
      <c r="D47" s="261"/>
      <c r="E47" s="261"/>
      <c r="F47" s="261"/>
      <c r="G47" s="261"/>
      <c r="H47" s="261"/>
      <c r="I47" s="261"/>
      <c r="J47" s="261"/>
      <c r="K47" s="261"/>
      <c r="L47" s="261"/>
      <c r="M47" s="261"/>
    </row>
    <row r="48" spans="1:13" ht="15" customHeight="1" x14ac:dyDescent="0.25">
      <c r="A48" s="261" t="s">
        <v>247</v>
      </c>
      <c r="B48" s="261"/>
      <c r="C48" s="261"/>
      <c r="D48" s="261"/>
      <c r="E48" s="261"/>
      <c r="F48" s="261"/>
      <c r="G48" s="261"/>
      <c r="H48" s="261"/>
      <c r="I48" s="261"/>
      <c r="J48" s="261"/>
      <c r="K48" s="261"/>
      <c r="L48" s="261"/>
      <c r="M48" s="261"/>
    </row>
    <row r="49" spans="1:13" ht="15" customHeight="1" x14ac:dyDescent="0.25">
      <c r="A49" s="261" t="s">
        <v>248</v>
      </c>
      <c r="B49" s="261"/>
      <c r="C49" s="261"/>
      <c r="D49" s="261"/>
      <c r="E49" s="261"/>
      <c r="F49" s="261"/>
      <c r="G49" s="261"/>
      <c r="H49" s="261"/>
      <c r="I49" s="261"/>
      <c r="J49" s="261"/>
      <c r="K49" s="261"/>
      <c r="L49" s="261"/>
      <c r="M49" s="261"/>
    </row>
    <row r="50" spans="1:13" x14ac:dyDescent="0.25">
      <c r="A50" s="51"/>
      <c r="B50" s="52"/>
      <c r="C50" s="51"/>
      <c r="D50" s="51"/>
      <c r="E50" s="51"/>
      <c r="F50" s="51"/>
      <c r="G50" s="51"/>
    </row>
    <row r="51" spans="1:13" x14ac:dyDescent="0.25">
      <c r="A51" s="51"/>
      <c r="B51" s="52"/>
      <c r="C51" s="51"/>
      <c r="D51" s="51"/>
      <c r="E51" s="51"/>
      <c r="F51" s="51"/>
      <c r="G51" s="51"/>
    </row>
    <row r="52" spans="1:13" x14ac:dyDescent="0.25">
      <c r="A52" s="51"/>
      <c r="B52" s="52"/>
      <c r="C52" s="51"/>
      <c r="D52" s="51"/>
      <c r="E52" s="51"/>
      <c r="F52" s="53"/>
      <c r="G52" s="53"/>
      <c r="H52" s="53"/>
      <c r="I52" s="53"/>
    </row>
    <row r="53" spans="1:13" x14ac:dyDescent="0.25">
      <c r="A53" s="51"/>
      <c r="B53" s="52"/>
      <c r="C53" s="51"/>
      <c r="D53" s="51"/>
      <c r="E53" s="51"/>
      <c r="F53" s="53"/>
      <c r="G53" s="53"/>
      <c r="H53" s="234"/>
      <c r="I53" s="234"/>
    </row>
    <row r="54" spans="1:13" x14ac:dyDescent="0.25">
      <c r="A54" s="51"/>
      <c r="B54" s="52"/>
      <c r="C54" s="51"/>
      <c r="D54" s="51"/>
      <c r="E54" s="51"/>
      <c r="F54" s="51"/>
      <c r="G54" s="51"/>
    </row>
    <row r="55" spans="1:13" x14ac:dyDescent="0.25">
      <c r="A55" s="51"/>
      <c r="B55" s="52"/>
      <c r="C55" s="51"/>
      <c r="D55" s="51"/>
      <c r="E55" s="51"/>
      <c r="F55" s="51"/>
      <c r="G55" s="51"/>
    </row>
    <row r="56" spans="1:13" x14ac:dyDescent="0.25">
      <c r="A56" s="51"/>
      <c r="B56" s="52"/>
      <c r="C56" s="51"/>
      <c r="D56" s="51"/>
      <c r="E56" s="51"/>
      <c r="F56" s="51"/>
      <c r="G56" s="51"/>
    </row>
    <row r="57" spans="1:13" x14ac:dyDescent="0.25">
      <c r="A57" s="51"/>
      <c r="B57" s="52"/>
      <c r="C57" s="51"/>
      <c r="D57" s="51"/>
      <c r="E57" s="51"/>
      <c r="F57" s="51"/>
      <c r="G57" s="51"/>
    </row>
    <row r="58" spans="1:13" x14ac:dyDescent="0.25">
      <c r="A58" s="51"/>
      <c r="B58" s="52"/>
      <c r="C58" s="51"/>
      <c r="D58" s="51"/>
      <c r="E58" s="51"/>
      <c r="F58" s="51"/>
      <c r="G58" s="51"/>
    </row>
    <row r="59" spans="1:13" x14ac:dyDescent="0.25">
      <c r="A59" s="51"/>
      <c r="B59" s="52"/>
      <c r="C59" s="51"/>
      <c r="D59" s="51"/>
      <c r="E59" s="51"/>
      <c r="F59" s="51"/>
      <c r="G59" s="51"/>
    </row>
    <row r="60" spans="1:13" x14ac:dyDescent="0.25">
      <c r="A60" s="51"/>
      <c r="B60" s="52"/>
      <c r="C60" s="51"/>
      <c r="D60" s="51"/>
      <c r="E60" s="51"/>
      <c r="F60" s="51"/>
      <c r="G60" s="51"/>
    </row>
    <row r="61" spans="1:13" x14ac:dyDescent="0.25">
      <c r="A61" s="51"/>
      <c r="B61" s="52"/>
      <c r="C61" s="51"/>
      <c r="D61" s="51"/>
      <c r="E61" s="51"/>
      <c r="F61" s="51"/>
      <c r="G61" s="51"/>
    </row>
    <row r="62" spans="1:13" x14ac:dyDescent="0.25">
      <c r="A62" s="51"/>
      <c r="B62" s="52"/>
      <c r="C62" s="51"/>
      <c r="D62" s="51"/>
      <c r="E62" s="51"/>
      <c r="F62" s="51"/>
      <c r="G62" s="51"/>
    </row>
    <row r="63" spans="1:13" x14ac:dyDescent="0.25">
      <c r="A63" s="51"/>
      <c r="B63" s="52"/>
      <c r="C63" s="51"/>
      <c r="D63" s="51"/>
      <c r="E63" s="51"/>
      <c r="F63" s="51"/>
      <c r="G63" s="51"/>
    </row>
    <row r="64" spans="1:13" x14ac:dyDescent="0.25">
      <c r="A64" s="51"/>
      <c r="B64" s="52"/>
      <c r="C64" s="51"/>
      <c r="D64" s="51"/>
      <c r="E64" s="51"/>
      <c r="F64" s="51"/>
      <c r="G64" s="51"/>
    </row>
    <row r="65" spans="1:7" x14ac:dyDescent="0.25">
      <c r="A65" s="51"/>
      <c r="B65" s="52"/>
      <c r="C65" s="51"/>
      <c r="D65" s="51"/>
      <c r="E65" s="51"/>
      <c r="F65" s="51"/>
      <c r="G65" s="51"/>
    </row>
    <row r="66" spans="1:7" x14ac:dyDescent="0.25">
      <c r="A66" s="51"/>
      <c r="B66" s="52"/>
      <c r="C66" s="51"/>
      <c r="D66" s="51"/>
      <c r="E66" s="51"/>
      <c r="F66" s="51"/>
      <c r="G66" s="51"/>
    </row>
    <row r="67" spans="1:7" x14ac:dyDescent="0.25">
      <c r="A67" s="51"/>
      <c r="B67" s="52"/>
      <c r="C67" s="51"/>
      <c r="D67" s="51"/>
      <c r="E67" s="51"/>
      <c r="F67" s="51"/>
      <c r="G67" s="51"/>
    </row>
    <row r="68" spans="1:7" x14ac:dyDescent="0.25">
      <c r="A68" s="51"/>
      <c r="B68" s="52"/>
      <c r="C68" s="51"/>
      <c r="D68" s="51"/>
      <c r="E68" s="51"/>
      <c r="F68" s="51"/>
      <c r="G68" s="51"/>
    </row>
    <row r="69" spans="1:7" x14ac:dyDescent="0.25">
      <c r="A69" s="51"/>
      <c r="B69" s="52"/>
      <c r="C69" s="51"/>
      <c r="D69" s="51"/>
      <c r="E69" s="51"/>
      <c r="F69" s="51"/>
      <c r="G69" s="51"/>
    </row>
    <row r="70" spans="1:7" x14ac:dyDescent="0.25">
      <c r="A70" s="51"/>
      <c r="B70" s="52"/>
      <c r="C70" s="51"/>
      <c r="D70" s="51"/>
      <c r="E70" s="51"/>
      <c r="F70" s="51"/>
      <c r="G70" s="51"/>
    </row>
    <row r="71" spans="1:7" x14ac:dyDescent="0.25">
      <c r="A71" s="51"/>
      <c r="B71" s="52"/>
      <c r="C71" s="51"/>
      <c r="D71" s="51"/>
      <c r="E71" s="51"/>
      <c r="F71" s="51"/>
      <c r="G71" s="51"/>
    </row>
    <row r="72" spans="1:7" x14ac:dyDescent="0.25">
      <c r="A72" s="51"/>
      <c r="B72" s="52"/>
      <c r="C72" s="51"/>
      <c r="D72" s="51"/>
      <c r="E72" s="51"/>
      <c r="F72" s="51"/>
      <c r="G72" s="51"/>
    </row>
    <row r="73" spans="1:7" x14ac:dyDescent="0.25">
      <c r="A73" s="51"/>
      <c r="B73" s="52"/>
      <c r="C73" s="51"/>
      <c r="D73" s="51"/>
      <c r="E73" s="51"/>
      <c r="F73" s="51"/>
      <c r="G73" s="51"/>
    </row>
    <row r="74" spans="1:7" x14ac:dyDescent="0.25">
      <c r="A74" s="51"/>
      <c r="B74" s="52"/>
      <c r="C74" s="51"/>
      <c r="D74" s="51"/>
      <c r="E74" s="51"/>
      <c r="F74" s="51"/>
      <c r="G74" s="51"/>
    </row>
    <row r="75" spans="1:7" x14ac:dyDescent="0.25">
      <c r="A75" s="51"/>
      <c r="B75" s="52"/>
      <c r="C75" s="51"/>
      <c r="D75" s="51"/>
      <c r="E75" s="51"/>
      <c r="F75" s="51"/>
      <c r="G75" s="51"/>
    </row>
    <row r="76" spans="1:7" x14ac:dyDescent="0.25">
      <c r="A76" s="51"/>
      <c r="B76" s="52"/>
      <c r="C76" s="51"/>
      <c r="D76" s="51"/>
      <c r="E76" s="51"/>
      <c r="F76" s="51"/>
      <c r="G76" s="51"/>
    </row>
    <row r="77" spans="1:7" x14ac:dyDescent="0.25">
      <c r="A77" s="51"/>
      <c r="B77" s="52"/>
      <c r="C77" s="51"/>
      <c r="D77" s="51"/>
      <c r="E77" s="51"/>
      <c r="F77" s="51"/>
      <c r="G77" s="51"/>
    </row>
    <row r="78" spans="1:7" x14ac:dyDescent="0.25">
      <c r="A78" s="51"/>
      <c r="B78" s="52"/>
      <c r="C78" s="51"/>
      <c r="D78" s="51"/>
      <c r="E78" s="51"/>
      <c r="F78" s="51"/>
      <c r="G78" s="51"/>
    </row>
    <row r="79" spans="1:7" x14ac:dyDescent="0.25">
      <c r="A79" s="51"/>
      <c r="B79" s="52"/>
      <c r="C79" s="51"/>
      <c r="D79" s="51"/>
      <c r="E79" s="51"/>
      <c r="F79" s="51"/>
      <c r="G79" s="51"/>
    </row>
    <row r="80" spans="1:7" x14ac:dyDescent="0.25">
      <c r="A80" s="51"/>
      <c r="B80" s="52"/>
      <c r="C80" s="51"/>
      <c r="D80" s="51"/>
      <c r="E80" s="51"/>
      <c r="F80" s="51"/>
      <c r="G80" s="51"/>
    </row>
    <row r="81" spans="1:7" x14ac:dyDescent="0.25">
      <c r="A81" s="51"/>
      <c r="B81" s="52"/>
      <c r="C81" s="51"/>
      <c r="D81" s="51"/>
      <c r="E81" s="51"/>
      <c r="F81" s="51"/>
      <c r="G81" s="51"/>
    </row>
    <row r="82" spans="1:7" x14ac:dyDescent="0.25">
      <c r="A82" s="51"/>
      <c r="B82" s="52"/>
      <c r="C82" s="51"/>
      <c r="D82" s="51"/>
      <c r="E82" s="51"/>
      <c r="F82" s="51"/>
      <c r="G82" s="51"/>
    </row>
    <row r="83" spans="1:7" x14ac:dyDescent="0.25">
      <c r="A83" s="51"/>
      <c r="B83" s="52"/>
      <c r="C83" s="51"/>
      <c r="D83" s="51"/>
      <c r="E83" s="51"/>
      <c r="F83" s="51"/>
      <c r="G83" s="51"/>
    </row>
    <row r="84" spans="1:7" x14ac:dyDescent="0.25">
      <c r="A84" s="51"/>
      <c r="B84" s="52"/>
      <c r="C84" s="51"/>
      <c r="D84" s="51"/>
      <c r="E84" s="51"/>
      <c r="F84" s="51"/>
      <c r="G84" s="51"/>
    </row>
    <row r="85" spans="1:7" x14ac:dyDescent="0.25">
      <c r="A85" s="51"/>
      <c r="B85" s="52"/>
      <c r="C85" s="51"/>
      <c r="D85" s="51"/>
      <c r="E85" s="51"/>
      <c r="F85" s="51"/>
      <c r="G85" s="51"/>
    </row>
    <row r="86" spans="1:7" x14ac:dyDescent="0.25">
      <c r="A86" s="51"/>
      <c r="B86" s="52"/>
      <c r="C86" s="51"/>
      <c r="D86" s="51"/>
      <c r="E86" s="51"/>
      <c r="F86" s="51"/>
      <c r="G86" s="51"/>
    </row>
    <row r="87" spans="1:7" x14ac:dyDescent="0.25">
      <c r="A87" s="51"/>
      <c r="B87" s="52"/>
      <c r="C87" s="51"/>
      <c r="D87" s="51"/>
      <c r="E87" s="51"/>
      <c r="F87" s="51"/>
      <c r="G87" s="51"/>
    </row>
    <row r="88" spans="1:7" x14ac:dyDescent="0.25">
      <c r="A88" s="51"/>
      <c r="B88" s="52"/>
      <c r="C88" s="51"/>
      <c r="D88" s="51"/>
      <c r="E88" s="51"/>
      <c r="F88" s="51"/>
      <c r="G88" s="51"/>
    </row>
    <row r="89" spans="1:7" x14ac:dyDescent="0.25">
      <c r="A89" s="51"/>
      <c r="B89" s="52"/>
      <c r="C89" s="51"/>
      <c r="D89" s="51"/>
      <c r="E89" s="51"/>
      <c r="F89" s="51"/>
      <c r="G89" s="51"/>
    </row>
    <row r="90" spans="1:7" x14ac:dyDescent="0.25">
      <c r="A90" s="51"/>
      <c r="B90" s="52"/>
      <c r="C90" s="51"/>
      <c r="D90" s="51"/>
      <c r="E90" s="51"/>
      <c r="F90" s="51"/>
      <c r="G90" s="51"/>
    </row>
    <row r="91" spans="1:7" x14ac:dyDescent="0.25">
      <c r="A91" s="51"/>
      <c r="B91" s="52"/>
      <c r="C91" s="51"/>
      <c r="D91" s="51"/>
      <c r="E91" s="51"/>
      <c r="F91" s="51"/>
      <c r="G91" s="51"/>
    </row>
    <row r="92" spans="1:7" x14ac:dyDescent="0.25">
      <c r="A92" s="51"/>
      <c r="B92" s="52"/>
      <c r="C92" s="51"/>
      <c r="D92" s="51"/>
      <c r="E92" s="51"/>
      <c r="F92" s="51"/>
      <c r="G92" s="51"/>
    </row>
    <row r="93" spans="1:7" x14ac:dyDescent="0.25">
      <c r="A93" s="51"/>
      <c r="B93" s="52"/>
      <c r="C93" s="51"/>
      <c r="D93" s="51"/>
      <c r="E93" s="51"/>
      <c r="F93" s="51"/>
      <c r="G93" s="51"/>
    </row>
    <row r="94" spans="1:7" x14ac:dyDescent="0.25">
      <c r="A94" s="51"/>
      <c r="B94" s="52"/>
      <c r="C94" s="51"/>
      <c r="D94" s="51"/>
      <c r="E94" s="51"/>
      <c r="F94" s="51"/>
      <c r="G94" s="51"/>
    </row>
    <row r="95" spans="1:7" x14ac:dyDescent="0.25">
      <c r="A95" s="51"/>
      <c r="B95" s="52"/>
      <c r="C95" s="51"/>
      <c r="D95" s="51"/>
      <c r="E95" s="51"/>
      <c r="F95" s="51"/>
      <c r="G95" s="51"/>
    </row>
    <row r="96" spans="1:7" x14ac:dyDescent="0.25">
      <c r="A96" s="51"/>
      <c r="B96" s="52"/>
      <c r="C96" s="51"/>
      <c r="D96" s="51"/>
      <c r="E96" s="51"/>
      <c r="F96" s="51"/>
      <c r="G96" s="51"/>
    </row>
    <row r="97" spans="1:7" x14ac:dyDescent="0.25">
      <c r="A97" s="51"/>
      <c r="B97" s="52"/>
      <c r="C97" s="51"/>
      <c r="D97" s="51"/>
      <c r="E97" s="51"/>
      <c r="F97" s="51"/>
      <c r="G97" s="51"/>
    </row>
    <row r="98" spans="1:7" x14ac:dyDescent="0.25">
      <c r="A98" s="51"/>
      <c r="B98" s="52"/>
      <c r="C98" s="51"/>
      <c r="D98" s="51"/>
      <c r="E98" s="51"/>
      <c r="F98" s="51"/>
      <c r="G98" s="51"/>
    </row>
    <row r="99" spans="1:7" x14ac:dyDescent="0.25">
      <c r="A99" s="51"/>
      <c r="B99" s="52"/>
      <c r="C99" s="51"/>
      <c r="D99" s="51"/>
      <c r="E99" s="51"/>
      <c r="F99" s="51"/>
      <c r="G99" s="51"/>
    </row>
    <row r="100" spans="1:7" x14ac:dyDescent="0.25">
      <c r="A100" s="51"/>
      <c r="B100" s="52"/>
      <c r="C100" s="51"/>
      <c r="D100" s="51"/>
      <c r="E100" s="51"/>
      <c r="F100" s="51"/>
      <c r="G100" s="51"/>
    </row>
    <row r="101" spans="1:7" x14ac:dyDescent="0.25">
      <c r="A101" s="51"/>
      <c r="B101" s="52"/>
      <c r="C101" s="51"/>
      <c r="D101" s="51"/>
      <c r="E101" s="51"/>
      <c r="F101" s="51"/>
      <c r="G101" s="51"/>
    </row>
    <row r="102" spans="1:7" x14ac:dyDescent="0.25">
      <c r="A102" s="51"/>
      <c r="B102" s="52"/>
      <c r="C102" s="51"/>
      <c r="D102" s="51"/>
      <c r="E102" s="51"/>
      <c r="F102" s="51"/>
      <c r="G102" s="51"/>
    </row>
    <row r="103" spans="1:7" x14ac:dyDescent="0.25">
      <c r="A103" s="51"/>
      <c r="B103" s="52"/>
      <c r="C103" s="51"/>
      <c r="D103" s="51"/>
      <c r="E103" s="51"/>
      <c r="F103" s="51"/>
      <c r="G103" s="51"/>
    </row>
    <row r="104" spans="1:7" x14ac:dyDescent="0.25">
      <c r="A104" s="51"/>
      <c r="B104" s="52"/>
      <c r="C104" s="51"/>
      <c r="D104" s="51"/>
      <c r="E104" s="51"/>
      <c r="F104" s="51"/>
      <c r="G104" s="51"/>
    </row>
    <row r="105" spans="1:7" x14ac:dyDescent="0.25">
      <c r="A105" s="51"/>
      <c r="B105" s="52"/>
      <c r="C105" s="51"/>
      <c r="D105" s="51"/>
      <c r="E105" s="51"/>
      <c r="F105" s="51"/>
      <c r="G105" s="51"/>
    </row>
    <row r="106" spans="1:7" x14ac:dyDescent="0.25">
      <c r="A106" s="51"/>
      <c r="B106" s="52"/>
      <c r="C106" s="51"/>
      <c r="D106" s="51"/>
      <c r="E106" s="51"/>
      <c r="F106" s="51"/>
      <c r="G106" s="51"/>
    </row>
    <row r="107" spans="1:7" x14ac:dyDescent="0.25">
      <c r="A107" s="51"/>
      <c r="B107" s="52"/>
      <c r="C107" s="51"/>
      <c r="D107" s="51"/>
      <c r="E107" s="51"/>
      <c r="F107" s="51"/>
      <c r="G107" s="51"/>
    </row>
    <row r="108" spans="1:7" x14ac:dyDescent="0.25">
      <c r="A108" s="51"/>
      <c r="B108" s="52"/>
      <c r="C108" s="51"/>
      <c r="D108" s="51"/>
      <c r="E108" s="51"/>
      <c r="F108" s="51"/>
      <c r="G108" s="51"/>
    </row>
    <row r="109" spans="1:7" x14ac:dyDescent="0.25">
      <c r="A109" s="51"/>
      <c r="B109" s="52"/>
      <c r="C109" s="51"/>
      <c r="D109" s="51"/>
      <c r="E109" s="51"/>
      <c r="F109" s="51"/>
      <c r="G109" s="51"/>
    </row>
    <row r="110" spans="1:7" x14ac:dyDescent="0.25">
      <c r="A110" s="51"/>
      <c r="B110" s="52"/>
      <c r="C110" s="51"/>
      <c r="D110" s="51"/>
      <c r="E110" s="51"/>
      <c r="F110" s="51"/>
      <c r="G110" s="51"/>
    </row>
    <row r="111" spans="1:7" x14ac:dyDescent="0.25">
      <c r="A111" s="51"/>
      <c r="B111" s="52"/>
      <c r="C111" s="51"/>
      <c r="D111" s="51"/>
      <c r="E111" s="51"/>
      <c r="F111" s="51"/>
      <c r="G111" s="51"/>
    </row>
    <row r="112" spans="1:7" x14ac:dyDescent="0.25">
      <c r="A112" s="51"/>
      <c r="B112" s="52"/>
      <c r="C112" s="51"/>
      <c r="D112" s="51"/>
      <c r="E112" s="51"/>
      <c r="F112" s="51"/>
      <c r="G112" s="51"/>
    </row>
    <row r="113" spans="1:7" x14ac:dyDescent="0.25">
      <c r="A113" s="51"/>
      <c r="B113" s="52"/>
      <c r="C113" s="51"/>
      <c r="D113" s="51"/>
      <c r="E113" s="51"/>
      <c r="F113" s="51"/>
      <c r="G113" s="51"/>
    </row>
    <row r="114" spans="1:7" x14ac:dyDescent="0.25">
      <c r="A114" s="51"/>
      <c r="B114" s="52"/>
      <c r="C114" s="51"/>
      <c r="D114" s="51"/>
      <c r="E114" s="51"/>
      <c r="F114" s="51"/>
      <c r="G114" s="51"/>
    </row>
    <row r="115" spans="1:7" x14ac:dyDescent="0.25">
      <c r="A115" s="51"/>
      <c r="B115" s="52"/>
      <c r="C115" s="51"/>
      <c r="D115" s="51"/>
      <c r="E115" s="51"/>
      <c r="F115" s="51"/>
      <c r="G115" s="51"/>
    </row>
    <row r="116" spans="1:7" x14ac:dyDescent="0.25">
      <c r="A116" s="51"/>
      <c r="B116" s="52"/>
      <c r="C116" s="51"/>
      <c r="D116" s="51"/>
      <c r="E116" s="51"/>
      <c r="F116" s="51"/>
      <c r="G116" s="51"/>
    </row>
    <row r="117" spans="1:7" x14ac:dyDescent="0.25">
      <c r="A117" s="51"/>
      <c r="B117" s="52"/>
      <c r="C117" s="51"/>
      <c r="D117" s="51"/>
      <c r="E117" s="51"/>
      <c r="F117" s="51"/>
      <c r="G117" s="51"/>
    </row>
    <row r="118" spans="1:7" x14ac:dyDescent="0.25">
      <c r="A118" s="51"/>
      <c r="B118" s="52"/>
      <c r="C118" s="51"/>
      <c r="D118" s="51"/>
      <c r="E118" s="51"/>
      <c r="F118" s="51"/>
      <c r="G118" s="51"/>
    </row>
    <row r="119" spans="1:7" x14ac:dyDescent="0.25">
      <c r="A119" s="51"/>
      <c r="B119" s="52"/>
      <c r="C119" s="51"/>
      <c r="D119" s="51"/>
      <c r="E119" s="51"/>
      <c r="F119" s="51"/>
      <c r="G119" s="51"/>
    </row>
    <row r="120" spans="1:7" x14ac:dyDescent="0.25">
      <c r="A120" s="51"/>
      <c r="B120" s="52"/>
      <c r="C120" s="51"/>
      <c r="D120" s="51"/>
      <c r="E120" s="51"/>
      <c r="F120" s="51"/>
      <c r="G120" s="51"/>
    </row>
    <row r="121" spans="1:7" x14ac:dyDescent="0.25">
      <c r="A121" s="51"/>
      <c r="B121" s="52"/>
      <c r="C121" s="51"/>
      <c r="D121" s="51"/>
      <c r="E121" s="51"/>
      <c r="F121" s="51"/>
      <c r="G121" s="51"/>
    </row>
    <row r="122" spans="1:7" x14ac:dyDescent="0.25">
      <c r="A122" s="51"/>
      <c r="B122" s="52"/>
      <c r="C122" s="51"/>
      <c r="D122" s="51"/>
      <c r="E122" s="51"/>
      <c r="F122" s="51"/>
      <c r="G122" s="51"/>
    </row>
    <row r="123" spans="1:7" x14ac:dyDescent="0.25">
      <c r="A123" s="51"/>
      <c r="B123" s="52"/>
      <c r="C123" s="51"/>
      <c r="D123" s="51"/>
      <c r="E123" s="51"/>
      <c r="F123" s="51"/>
      <c r="G123" s="51"/>
    </row>
    <row r="124" spans="1:7" x14ac:dyDescent="0.25">
      <c r="A124" s="51"/>
      <c r="B124" s="52"/>
      <c r="C124" s="51"/>
      <c r="D124" s="51"/>
      <c r="E124" s="51"/>
      <c r="F124" s="51"/>
      <c r="G124" s="51"/>
    </row>
    <row r="125" spans="1:7" x14ac:dyDescent="0.25">
      <c r="A125" s="51"/>
      <c r="B125" s="52"/>
      <c r="C125" s="51"/>
      <c r="D125" s="51"/>
      <c r="E125" s="51"/>
      <c r="F125" s="51"/>
      <c r="G125" s="51"/>
    </row>
    <row r="126" spans="1:7" x14ac:dyDescent="0.25">
      <c r="A126" s="51"/>
      <c r="B126" s="52"/>
      <c r="C126" s="51"/>
      <c r="D126" s="51"/>
      <c r="E126" s="51"/>
      <c r="F126" s="51"/>
      <c r="G126" s="51"/>
    </row>
    <row r="127" spans="1:7" x14ac:dyDescent="0.25">
      <c r="A127" s="51"/>
      <c r="B127" s="52"/>
      <c r="C127" s="51"/>
      <c r="D127" s="51"/>
      <c r="E127" s="51"/>
      <c r="F127" s="51"/>
      <c r="G127" s="51"/>
    </row>
    <row r="128" spans="1:7" x14ac:dyDescent="0.25">
      <c r="A128" s="51"/>
      <c r="B128" s="52"/>
      <c r="C128" s="51"/>
      <c r="D128" s="51"/>
      <c r="E128" s="51"/>
      <c r="F128" s="51"/>
      <c r="G128" s="51"/>
    </row>
    <row r="129" spans="1:7" x14ac:dyDescent="0.25">
      <c r="A129" s="51"/>
      <c r="B129" s="52"/>
      <c r="C129" s="51"/>
      <c r="D129" s="51"/>
      <c r="E129" s="51"/>
      <c r="F129" s="51"/>
      <c r="G129" s="51"/>
    </row>
    <row r="130" spans="1:7" x14ac:dyDescent="0.25">
      <c r="A130" s="51"/>
      <c r="B130" s="52"/>
      <c r="C130" s="51"/>
      <c r="D130" s="51"/>
      <c r="E130" s="51"/>
      <c r="F130" s="51"/>
      <c r="G130" s="51"/>
    </row>
    <row r="131" spans="1:7" x14ac:dyDescent="0.25">
      <c r="A131" s="51"/>
      <c r="B131" s="52"/>
      <c r="C131" s="51"/>
      <c r="D131" s="51"/>
      <c r="E131" s="51"/>
      <c r="F131" s="51"/>
      <c r="G131" s="51"/>
    </row>
    <row r="132" spans="1:7" x14ac:dyDescent="0.25">
      <c r="A132" s="51"/>
      <c r="B132" s="52"/>
      <c r="C132" s="51"/>
      <c r="D132" s="51"/>
      <c r="E132" s="51"/>
      <c r="F132" s="51"/>
      <c r="G132" s="51"/>
    </row>
    <row r="133" spans="1:7" x14ac:dyDescent="0.25">
      <c r="A133" s="51"/>
      <c r="B133" s="52"/>
      <c r="C133" s="51"/>
      <c r="D133" s="51"/>
      <c r="E133" s="51"/>
      <c r="F133" s="51"/>
      <c r="G133" s="51"/>
    </row>
    <row r="134" spans="1:7" x14ac:dyDescent="0.25">
      <c r="A134" s="51"/>
      <c r="B134" s="52"/>
      <c r="C134" s="51"/>
      <c r="D134" s="51"/>
      <c r="E134" s="51"/>
      <c r="F134" s="51"/>
      <c r="G134" s="51"/>
    </row>
    <row r="135" spans="1:7" x14ac:dyDescent="0.25">
      <c r="A135" s="51"/>
      <c r="B135" s="52"/>
      <c r="C135" s="51"/>
      <c r="D135" s="51"/>
      <c r="E135" s="51"/>
      <c r="F135" s="51"/>
      <c r="G135" s="51"/>
    </row>
    <row r="136" spans="1:7" x14ac:dyDescent="0.25">
      <c r="A136" s="51"/>
      <c r="B136" s="52"/>
      <c r="C136" s="51"/>
      <c r="D136" s="51"/>
      <c r="E136" s="51"/>
      <c r="F136" s="51"/>
      <c r="G136" s="51"/>
    </row>
    <row r="137" spans="1:7" x14ac:dyDescent="0.25">
      <c r="A137" s="51"/>
      <c r="B137" s="52"/>
      <c r="C137" s="51"/>
      <c r="D137" s="51"/>
      <c r="E137" s="51"/>
      <c r="F137" s="51"/>
      <c r="G137" s="51"/>
    </row>
    <row r="138" spans="1:7" x14ac:dyDescent="0.25">
      <c r="A138" s="51"/>
      <c r="B138" s="52"/>
      <c r="C138" s="51"/>
      <c r="D138" s="51"/>
      <c r="E138" s="51"/>
      <c r="F138" s="51"/>
      <c r="G138" s="51"/>
    </row>
    <row r="139" spans="1:7" x14ac:dyDescent="0.25">
      <c r="A139" s="51"/>
      <c r="B139" s="52"/>
      <c r="C139" s="51"/>
      <c r="D139" s="51"/>
      <c r="E139" s="51"/>
      <c r="F139" s="51"/>
      <c r="G139" s="51"/>
    </row>
    <row r="140" spans="1:7" x14ac:dyDescent="0.25">
      <c r="A140" s="51"/>
      <c r="B140" s="52"/>
      <c r="C140" s="51"/>
      <c r="D140" s="51"/>
      <c r="E140" s="51"/>
      <c r="F140" s="51"/>
      <c r="G140" s="51"/>
    </row>
    <row r="141" spans="1:7" x14ac:dyDescent="0.25">
      <c r="A141" s="51"/>
      <c r="B141" s="52"/>
      <c r="C141" s="51"/>
      <c r="D141" s="51"/>
      <c r="E141" s="51"/>
      <c r="F141" s="51"/>
      <c r="G141" s="51"/>
    </row>
    <row r="142" spans="1:7" x14ac:dyDescent="0.25">
      <c r="A142" s="51"/>
      <c r="B142" s="52"/>
      <c r="C142" s="51"/>
      <c r="D142" s="51"/>
      <c r="E142" s="51"/>
      <c r="F142" s="51"/>
      <c r="G142" s="51"/>
    </row>
    <row r="143" spans="1:7" x14ac:dyDescent="0.25">
      <c r="A143" s="51"/>
      <c r="B143" s="52"/>
      <c r="C143" s="51"/>
      <c r="D143" s="51"/>
      <c r="E143" s="51"/>
      <c r="F143" s="51"/>
      <c r="G143" s="51"/>
    </row>
    <row r="144" spans="1:7" x14ac:dyDescent="0.25">
      <c r="A144" s="51"/>
      <c r="B144" s="52"/>
      <c r="C144" s="51"/>
      <c r="D144" s="51"/>
      <c r="E144" s="51"/>
      <c r="F144" s="51"/>
      <c r="G144" s="51"/>
    </row>
    <row r="145" spans="1:7" x14ac:dyDescent="0.25">
      <c r="A145" s="51"/>
      <c r="B145" s="52"/>
      <c r="C145" s="51"/>
      <c r="D145" s="51"/>
      <c r="E145" s="51"/>
      <c r="F145" s="51"/>
      <c r="G145" s="51"/>
    </row>
    <row r="146" spans="1:7" x14ac:dyDescent="0.25">
      <c r="A146" s="51"/>
      <c r="B146" s="52"/>
      <c r="C146" s="51"/>
      <c r="D146" s="51"/>
      <c r="E146" s="51"/>
      <c r="F146" s="51"/>
      <c r="G146" s="51"/>
    </row>
    <row r="147" spans="1:7" x14ac:dyDescent="0.25">
      <c r="A147" s="51"/>
      <c r="B147" s="52"/>
      <c r="C147" s="51"/>
      <c r="D147" s="51"/>
      <c r="E147" s="51"/>
      <c r="F147" s="51"/>
      <c r="G147" s="51"/>
    </row>
    <row r="148" spans="1:7" x14ac:dyDescent="0.25">
      <c r="A148" s="51"/>
      <c r="B148" s="52"/>
      <c r="C148" s="51"/>
      <c r="D148" s="51"/>
      <c r="E148" s="51"/>
      <c r="F148" s="51"/>
      <c r="G148" s="51"/>
    </row>
    <row r="149" spans="1:7" x14ac:dyDescent="0.25">
      <c r="A149" s="51"/>
      <c r="B149" s="52"/>
      <c r="C149" s="51"/>
      <c r="D149" s="51"/>
      <c r="E149" s="51"/>
      <c r="F149" s="51"/>
      <c r="G149" s="51"/>
    </row>
    <row r="150" spans="1:7" x14ac:dyDescent="0.25">
      <c r="A150" s="51"/>
      <c r="B150" s="52"/>
      <c r="C150" s="51"/>
      <c r="D150" s="51"/>
      <c r="E150" s="51"/>
      <c r="F150" s="51"/>
      <c r="G150" s="51"/>
    </row>
    <row r="151" spans="1:7" x14ac:dyDescent="0.25">
      <c r="A151" s="51"/>
      <c r="B151" s="52"/>
      <c r="C151" s="51"/>
      <c r="D151" s="51"/>
      <c r="E151" s="51"/>
      <c r="F151" s="51"/>
      <c r="G151" s="51"/>
    </row>
    <row r="152" spans="1:7" x14ac:dyDescent="0.25">
      <c r="A152" s="51"/>
      <c r="B152" s="52"/>
      <c r="C152" s="51"/>
      <c r="D152" s="51"/>
      <c r="E152" s="51"/>
      <c r="F152" s="51"/>
      <c r="G152" s="51"/>
    </row>
    <row r="153" spans="1:7" x14ac:dyDescent="0.25">
      <c r="A153" s="51"/>
      <c r="B153" s="52"/>
      <c r="C153" s="51"/>
      <c r="D153" s="51"/>
      <c r="E153" s="51"/>
      <c r="F153" s="51"/>
      <c r="G153" s="51"/>
    </row>
    <row r="154" spans="1:7" x14ac:dyDescent="0.25">
      <c r="A154" s="51"/>
      <c r="B154" s="52"/>
      <c r="C154" s="51"/>
      <c r="D154" s="51"/>
      <c r="E154" s="51"/>
      <c r="F154" s="51"/>
      <c r="G154" s="51"/>
    </row>
    <row r="155" spans="1:7" x14ac:dyDescent="0.25">
      <c r="A155" s="51"/>
      <c r="B155" s="52"/>
      <c r="C155" s="51"/>
      <c r="D155" s="51"/>
      <c r="E155" s="51"/>
      <c r="F155" s="51"/>
      <c r="G155" s="51"/>
    </row>
    <row r="156" spans="1:7" x14ac:dyDescent="0.25">
      <c r="A156" s="51"/>
      <c r="B156" s="52"/>
      <c r="C156" s="51"/>
      <c r="D156" s="51"/>
      <c r="E156" s="51"/>
      <c r="F156" s="51"/>
      <c r="G156" s="51"/>
    </row>
    <row r="157" spans="1:7" x14ac:dyDescent="0.25">
      <c r="A157" s="51"/>
      <c r="B157" s="52"/>
      <c r="C157" s="51"/>
      <c r="D157" s="51"/>
      <c r="E157" s="51"/>
      <c r="F157" s="51"/>
      <c r="G157" s="51"/>
    </row>
    <row r="158" spans="1:7" x14ac:dyDescent="0.25">
      <c r="A158" s="51"/>
      <c r="B158" s="52"/>
      <c r="C158" s="51"/>
      <c r="D158" s="51"/>
      <c r="E158" s="51"/>
      <c r="F158" s="51"/>
      <c r="G158" s="51"/>
    </row>
    <row r="159" spans="1:7" x14ac:dyDescent="0.25">
      <c r="A159" s="51"/>
      <c r="B159" s="52"/>
      <c r="C159" s="51"/>
      <c r="D159" s="51"/>
      <c r="E159" s="51"/>
      <c r="F159" s="51"/>
      <c r="G159" s="51"/>
    </row>
    <row r="160" spans="1:7" x14ac:dyDescent="0.25">
      <c r="A160" s="51"/>
      <c r="B160" s="52"/>
      <c r="C160" s="51"/>
      <c r="D160" s="51"/>
      <c r="E160" s="51"/>
      <c r="F160" s="51"/>
      <c r="G160" s="51"/>
    </row>
    <row r="161" spans="1:7" x14ac:dyDescent="0.25">
      <c r="A161" s="51"/>
      <c r="B161" s="52"/>
      <c r="C161" s="51"/>
      <c r="D161" s="51"/>
      <c r="E161" s="51"/>
      <c r="F161" s="51"/>
      <c r="G161" s="51"/>
    </row>
    <row r="162" spans="1:7" x14ac:dyDescent="0.25">
      <c r="A162" s="51"/>
      <c r="B162" s="52"/>
      <c r="C162" s="51"/>
      <c r="D162" s="51"/>
      <c r="E162" s="51"/>
      <c r="F162" s="51"/>
      <c r="G162" s="51"/>
    </row>
    <row r="163" spans="1:7" x14ac:dyDescent="0.25">
      <c r="A163" s="51"/>
      <c r="B163" s="52"/>
      <c r="C163" s="51"/>
      <c r="D163" s="51"/>
      <c r="E163" s="51"/>
      <c r="F163" s="51"/>
      <c r="G163" s="51"/>
    </row>
    <row r="164" spans="1:7" x14ac:dyDescent="0.25">
      <c r="A164" s="51"/>
      <c r="B164" s="52"/>
      <c r="C164" s="51"/>
      <c r="D164" s="51"/>
      <c r="E164" s="51"/>
      <c r="F164" s="51"/>
      <c r="G164" s="51"/>
    </row>
    <row r="165" spans="1:7" x14ac:dyDescent="0.25">
      <c r="A165" s="51"/>
      <c r="B165" s="52"/>
      <c r="C165" s="51"/>
      <c r="D165" s="51"/>
      <c r="E165" s="51"/>
      <c r="F165" s="51"/>
      <c r="G165" s="51"/>
    </row>
    <row r="166" spans="1:7" x14ac:dyDescent="0.25">
      <c r="A166" s="51"/>
      <c r="B166" s="52"/>
      <c r="C166" s="51"/>
      <c r="D166" s="51"/>
      <c r="E166" s="51"/>
      <c r="F166" s="51"/>
      <c r="G166" s="51"/>
    </row>
    <row r="167" spans="1:7" x14ac:dyDescent="0.25">
      <c r="A167" s="51"/>
      <c r="B167" s="52"/>
      <c r="C167" s="51"/>
      <c r="D167" s="51"/>
      <c r="E167" s="51"/>
      <c r="F167" s="51"/>
      <c r="G167" s="51"/>
    </row>
    <row r="168" spans="1:7" x14ac:dyDescent="0.25">
      <c r="A168" s="51"/>
      <c r="B168" s="52"/>
      <c r="C168" s="51"/>
      <c r="D168" s="51"/>
      <c r="E168" s="51"/>
      <c r="F168" s="51"/>
      <c r="G168" s="51"/>
    </row>
    <row r="169" spans="1:7" x14ac:dyDescent="0.25">
      <c r="A169" s="51"/>
      <c r="B169" s="52"/>
      <c r="C169" s="51"/>
      <c r="D169" s="51"/>
      <c r="E169" s="51"/>
      <c r="F169" s="51"/>
      <c r="G169" s="51"/>
    </row>
    <row r="170" spans="1:7" x14ac:dyDescent="0.25">
      <c r="A170" s="51"/>
      <c r="B170" s="52"/>
      <c r="C170" s="51"/>
      <c r="D170" s="51"/>
      <c r="E170" s="51"/>
      <c r="F170" s="51"/>
      <c r="G170" s="51"/>
    </row>
    <row r="171" spans="1:7" x14ac:dyDescent="0.25">
      <c r="A171" s="51"/>
      <c r="B171" s="52"/>
      <c r="C171" s="51"/>
      <c r="D171" s="51"/>
      <c r="E171" s="51"/>
      <c r="F171" s="51"/>
      <c r="G171" s="51"/>
    </row>
    <row r="172" spans="1:7" x14ac:dyDescent="0.25">
      <c r="A172" s="51"/>
      <c r="B172" s="52"/>
      <c r="C172" s="51"/>
      <c r="D172" s="51"/>
      <c r="E172" s="51"/>
      <c r="F172" s="51"/>
      <c r="G172" s="51"/>
    </row>
    <row r="173" spans="1:7" x14ac:dyDescent="0.25">
      <c r="A173" s="51"/>
      <c r="B173" s="52"/>
      <c r="C173" s="51"/>
      <c r="D173" s="51"/>
      <c r="E173" s="51"/>
      <c r="F173" s="51"/>
      <c r="G173" s="51"/>
    </row>
    <row r="174" spans="1:7" x14ac:dyDescent="0.25">
      <c r="A174" s="51"/>
      <c r="B174" s="52"/>
      <c r="C174" s="51"/>
      <c r="D174" s="51"/>
      <c r="E174" s="51"/>
      <c r="F174" s="51"/>
      <c r="G174" s="51"/>
    </row>
    <row r="175" spans="1:7" x14ac:dyDescent="0.25">
      <c r="A175" s="51"/>
      <c r="B175" s="52"/>
      <c r="C175" s="51"/>
      <c r="D175" s="51"/>
      <c r="E175" s="51"/>
      <c r="F175" s="51"/>
      <c r="G175" s="51"/>
    </row>
    <row r="176" spans="1:7" x14ac:dyDescent="0.25">
      <c r="A176" s="51"/>
      <c r="B176" s="52"/>
      <c r="C176" s="51"/>
      <c r="D176" s="51"/>
      <c r="E176" s="51"/>
      <c r="F176" s="51"/>
      <c r="G176" s="51"/>
    </row>
    <row r="177" spans="1:7" x14ac:dyDescent="0.25">
      <c r="A177" s="51"/>
      <c r="B177" s="52"/>
      <c r="C177" s="51"/>
      <c r="D177" s="51"/>
      <c r="E177" s="51"/>
      <c r="F177" s="51"/>
      <c r="G177" s="51"/>
    </row>
    <row r="178" spans="1:7" x14ac:dyDescent="0.25">
      <c r="A178" s="51"/>
      <c r="B178" s="52"/>
      <c r="C178" s="51"/>
      <c r="D178" s="51"/>
      <c r="E178" s="51"/>
      <c r="F178" s="51"/>
      <c r="G178" s="51"/>
    </row>
    <row r="179" spans="1:7" x14ac:dyDescent="0.25">
      <c r="A179" s="51"/>
      <c r="B179" s="52"/>
      <c r="C179" s="51"/>
      <c r="D179" s="51"/>
      <c r="E179" s="51"/>
      <c r="F179" s="51"/>
      <c r="G179" s="51"/>
    </row>
    <row r="180" spans="1:7" x14ac:dyDescent="0.25">
      <c r="A180" s="51"/>
      <c r="B180" s="52"/>
      <c r="C180" s="51"/>
      <c r="D180" s="51"/>
      <c r="E180" s="51"/>
      <c r="F180" s="51"/>
      <c r="G180" s="51"/>
    </row>
    <row r="181" spans="1:7" x14ac:dyDescent="0.25">
      <c r="A181" s="51"/>
      <c r="B181" s="52"/>
      <c r="C181" s="51"/>
      <c r="D181" s="51"/>
      <c r="E181" s="51"/>
      <c r="F181" s="51"/>
      <c r="G181" s="51"/>
    </row>
    <row r="182" spans="1:7" x14ac:dyDescent="0.25">
      <c r="A182" s="51"/>
      <c r="B182" s="52"/>
      <c r="C182" s="51"/>
      <c r="D182" s="51"/>
      <c r="E182" s="51"/>
      <c r="F182" s="51"/>
      <c r="G182" s="51"/>
    </row>
    <row r="183" spans="1:7" x14ac:dyDescent="0.25">
      <c r="A183" s="51"/>
      <c r="B183" s="52"/>
      <c r="C183" s="51"/>
      <c r="D183" s="51"/>
      <c r="E183" s="51"/>
      <c r="F183" s="51"/>
      <c r="G183" s="51"/>
    </row>
    <row r="184" spans="1:7" x14ac:dyDescent="0.25">
      <c r="A184" s="51"/>
      <c r="B184" s="52"/>
      <c r="C184" s="51"/>
      <c r="D184" s="51"/>
      <c r="E184" s="51"/>
      <c r="F184" s="51"/>
      <c r="G184" s="51"/>
    </row>
    <row r="185" spans="1:7" x14ac:dyDescent="0.25">
      <c r="A185" s="51"/>
      <c r="B185" s="52"/>
      <c r="C185" s="51"/>
      <c r="D185" s="51"/>
      <c r="E185" s="51"/>
      <c r="F185" s="51"/>
      <c r="G185" s="51"/>
    </row>
    <row r="186" spans="1:7" x14ac:dyDescent="0.25">
      <c r="A186" s="51"/>
      <c r="B186" s="52"/>
      <c r="C186" s="51"/>
      <c r="D186" s="51"/>
      <c r="E186" s="51"/>
      <c r="F186" s="51"/>
      <c r="G186" s="51"/>
    </row>
    <row r="187" spans="1:7" x14ac:dyDescent="0.25">
      <c r="A187" s="51"/>
      <c r="B187" s="52"/>
      <c r="C187" s="51"/>
      <c r="D187" s="51"/>
      <c r="E187" s="51"/>
      <c r="F187" s="51"/>
      <c r="G187" s="51"/>
    </row>
    <row r="188" spans="1:7" x14ac:dyDescent="0.25">
      <c r="A188" s="51"/>
      <c r="B188" s="52"/>
      <c r="C188" s="51"/>
      <c r="D188" s="51"/>
      <c r="E188" s="51"/>
      <c r="F188" s="51"/>
      <c r="G188" s="51"/>
    </row>
    <row r="189" spans="1:7" x14ac:dyDescent="0.25">
      <c r="A189" s="51"/>
      <c r="B189" s="52"/>
      <c r="C189" s="51"/>
      <c r="D189" s="51"/>
      <c r="E189" s="51"/>
      <c r="F189" s="51"/>
      <c r="G189" s="51"/>
    </row>
    <row r="190" spans="1:7" x14ac:dyDescent="0.25">
      <c r="A190" s="51"/>
      <c r="B190" s="52"/>
      <c r="C190" s="51"/>
      <c r="D190" s="51"/>
      <c r="E190" s="51"/>
      <c r="F190" s="51"/>
      <c r="G190" s="51"/>
    </row>
    <row r="191" spans="1:7" x14ac:dyDescent="0.25">
      <c r="A191" s="51"/>
      <c r="B191" s="52"/>
      <c r="C191" s="51"/>
      <c r="D191" s="51"/>
      <c r="E191" s="51"/>
      <c r="F191" s="51"/>
      <c r="G191" s="51"/>
    </row>
    <row r="192" spans="1:7" x14ac:dyDescent="0.25">
      <c r="A192" s="51"/>
      <c r="B192" s="52"/>
      <c r="C192" s="51"/>
      <c r="D192" s="51"/>
      <c r="E192" s="51"/>
      <c r="F192" s="51"/>
      <c r="G192" s="51"/>
    </row>
    <row r="193" spans="1:7" x14ac:dyDescent="0.25">
      <c r="A193" s="51"/>
      <c r="B193" s="52"/>
      <c r="C193" s="51"/>
      <c r="D193" s="51"/>
      <c r="E193" s="51"/>
      <c r="F193" s="51"/>
      <c r="G193" s="51"/>
    </row>
    <row r="194" spans="1:7" x14ac:dyDescent="0.25">
      <c r="A194" s="51"/>
      <c r="B194" s="52"/>
      <c r="C194" s="51"/>
      <c r="D194" s="51"/>
      <c r="E194" s="51"/>
      <c r="F194" s="51"/>
      <c r="G194" s="51"/>
    </row>
    <row r="195" spans="1:7" x14ac:dyDescent="0.25">
      <c r="A195" s="51"/>
      <c r="B195" s="52"/>
      <c r="C195" s="51"/>
      <c r="D195" s="51"/>
      <c r="E195" s="51"/>
      <c r="F195" s="51"/>
      <c r="G195" s="51"/>
    </row>
    <row r="196" spans="1:7" x14ac:dyDescent="0.25">
      <c r="A196" s="51"/>
      <c r="B196" s="52"/>
      <c r="C196" s="51"/>
      <c r="D196" s="51"/>
      <c r="E196" s="51"/>
      <c r="F196" s="51"/>
      <c r="G196" s="51"/>
    </row>
    <row r="197" spans="1:7" x14ac:dyDescent="0.25">
      <c r="A197" s="51"/>
      <c r="B197" s="52"/>
      <c r="C197" s="51"/>
      <c r="D197" s="51"/>
      <c r="E197" s="51"/>
      <c r="F197" s="51"/>
      <c r="G197" s="51"/>
    </row>
    <row r="198" spans="1:7" x14ac:dyDescent="0.25">
      <c r="A198" s="51"/>
      <c r="B198" s="52"/>
      <c r="C198" s="51"/>
      <c r="D198" s="51"/>
      <c r="E198" s="51"/>
      <c r="F198" s="51"/>
      <c r="G198" s="51"/>
    </row>
    <row r="199" spans="1:7" x14ac:dyDescent="0.25">
      <c r="A199" s="51"/>
      <c r="B199" s="52"/>
      <c r="C199" s="51"/>
      <c r="D199" s="51"/>
      <c r="E199" s="51"/>
      <c r="F199" s="51"/>
      <c r="G199" s="51"/>
    </row>
    <row r="200" spans="1:7" x14ac:dyDescent="0.25">
      <c r="A200" s="51"/>
      <c r="B200" s="52"/>
      <c r="C200" s="51"/>
      <c r="D200" s="51"/>
      <c r="E200" s="51"/>
      <c r="F200" s="51"/>
      <c r="G200" s="51"/>
    </row>
    <row r="201" spans="1:7" x14ac:dyDescent="0.25">
      <c r="A201" s="51"/>
      <c r="B201" s="52"/>
      <c r="C201" s="51"/>
      <c r="D201" s="51"/>
      <c r="E201" s="51"/>
      <c r="F201" s="51"/>
      <c r="G201" s="51"/>
    </row>
    <row r="202" spans="1:7" x14ac:dyDescent="0.25">
      <c r="A202" s="51"/>
      <c r="B202" s="52"/>
      <c r="C202" s="51"/>
      <c r="D202" s="51"/>
      <c r="E202" s="51"/>
      <c r="F202" s="51"/>
      <c r="G202" s="51"/>
    </row>
    <row r="203" spans="1:7" x14ac:dyDescent="0.25">
      <c r="A203" s="51"/>
      <c r="B203" s="52"/>
      <c r="C203" s="51"/>
      <c r="D203" s="51"/>
      <c r="E203" s="51"/>
      <c r="F203" s="51"/>
      <c r="G203" s="51"/>
    </row>
    <row r="204" spans="1:7" x14ac:dyDescent="0.25">
      <c r="A204" s="51"/>
      <c r="B204" s="52"/>
      <c r="C204" s="51"/>
      <c r="D204" s="51"/>
      <c r="E204" s="51"/>
      <c r="F204" s="51"/>
      <c r="G204" s="51"/>
    </row>
    <row r="205" spans="1:7" x14ac:dyDescent="0.25">
      <c r="A205" s="51"/>
      <c r="B205" s="52"/>
      <c r="C205" s="51"/>
      <c r="D205" s="51"/>
      <c r="E205" s="51"/>
      <c r="F205" s="51"/>
      <c r="G205" s="51"/>
    </row>
    <row r="206" spans="1:7" x14ac:dyDescent="0.25">
      <c r="A206" s="51"/>
      <c r="B206" s="52"/>
      <c r="C206" s="51"/>
      <c r="D206" s="51"/>
      <c r="E206" s="51"/>
      <c r="F206" s="51"/>
      <c r="G206" s="51"/>
    </row>
    <row r="207" spans="1:7" x14ac:dyDescent="0.25">
      <c r="A207" s="51"/>
      <c r="B207" s="52"/>
      <c r="C207" s="51"/>
      <c r="D207" s="51"/>
      <c r="E207" s="51"/>
      <c r="F207" s="51"/>
      <c r="G207" s="51"/>
    </row>
    <row r="208" spans="1:7" x14ac:dyDescent="0.25">
      <c r="A208" s="51"/>
      <c r="B208" s="52"/>
      <c r="C208" s="51"/>
      <c r="D208" s="51"/>
      <c r="E208" s="51"/>
      <c r="F208" s="51"/>
      <c r="G208" s="51"/>
    </row>
    <row r="209" spans="1:7" x14ac:dyDescent="0.25">
      <c r="A209" s="51"/>
      <c r="B209" s="52"/>
      <c r="C209" s="51"/>
      <c r="D209" s="51"/>
      <c r="E209" s="51"/>
      <c r="F209" s="51"/>
      <c r="G209" s="51"/>
    </row>
    <row r="210" spans="1:7" x14ac:dyDescent="0.25">
      <c r="A210" s="51"/>
      <c r="B210" s="52"/>
      <c r="C210" s="51"/>
      <c r="D210" s="51"/>
      <c r="E210" s="51"/>
      <c r="F210" s="51"/>
      <c r="G210" s="51"/>
    </row>
    <row r="211" spans="1:7" x14ac:dyDescent="0.25">
      <c r="A211" s="51"/>
      <c r="B211" s="52"/>
      <c r="C211" s="51"/>
      <c r="D211" s="51"/>
      <c r="E211" s="51"/>
      <c r="F211" s="51"/>
      <c r="G211" s="51"/>
    </row>
    <row r="212" spans="1:7" x14ac:dyDescent="0.25">
      <c r="A212" s="51"/>
      <c r="B212" s="52"/>
      <c r="C212" s="51"/>
      <c r="D212" s="51"/>
      <c r="E212" s="51"/>
      <c r="F212" s="51"/>
      <c r="G212" s="51"/>
    </row>
    <row r="213" spans="1:7" x14ac:dyDescent="0.25">
      <c r="A213" s="51"/>
      <c r="B213" s="52"/>
      <c r="C213" s="51"/>
      <c r="D213" s="51"/>
      <c r="E213" s="51"/>
      <c r="F213" s="51"/>
      <c r="G213" s="51"/>
    </row>
    <row r="214" spans="1:7" x14ac:dyDescent="0.25">
      <c r="A214" s="51"/>
      <c r="B214" s="52"/>
      <c r="C214" s="51"/>
      <c r="D214" s="51"/>
      <c r="E214" s="51"/>
      <c r="F214" s="51"/>
      <c r="G214" s="51"/>
    </row>
    <row r="215" spans="1:7" x14ac:dyDescent="0.25">
      <c r="A215" s="51"/>
      <c r="B215" s="52"/>
      <c r="C215" s="51"/>
      <c r="D215" s="51"/>
      <c r="E215" s="51"/>
      <c r="F215" s="51"/>
      <c r="G215" s="51"/>
    </row>
    <row r="216" spans="1:7" x14ac:dyDescent="0.25">
      <c r="A216" s="51"/>
      <c r="B216" s="52"/>
      <c r="C216" s="51"/>
      <c r="D216" s="51"/>
      <c r="E216" s="51"/>
      <c r="F216" s="51"/>
      <c r="G216" s="51"/>
    </row>
    <row r="217" spans="1:7" x14ac:dyDescent="0.25">
      <c r="A217" s="51"/>
      <c r="B217" s="52"/>
      <c r="C217" s="51"/>
      <c r="D217" s="51"/>
      <c r="E217" s="51"/>
      <c r="F217" s="51"/>
      <c r="G217" s="51"/>
    </row>
    <row r="218" spans="1:7" x14ac:dyDescent="0.25">
      <c r="A218" s="51"/>
      <c r="B218" s="52"/>
      <c r="C218" s="51"/>
      <c r="D218" s="51"/>
      <c r="E218" s="51"/>
      <c r="F218" s="51"/>
      <c r="G218" s="51"/>
    </row>
    <row r="219" spans="1:7" x14ac:dyDescent="0.25">
      <c r="A219" s="51"/>
      <c r="B219" s="52"/>
      <c r="C219" s="51"/>
      <c r="D219" s="51"/>
      <c r="E219" s="51"/>
      <c r="F219" s="51"/>
      <c r="G219" s="51"/>
    </row>
    <row r="220" spans="1:7" x14ac:dyDescent="0.25">
      <c r="A220" s="51"/>
      <c r="B220" s="52"/>
      <c r="C220" s="51"/>
      <c r="D220" s="51"/>
      <c r="E220" s="51"/>
      <c r="F220" s="51"/>
      <c r="G220" s="51"/>
    </row>
    <row r="221" spans="1:7" x14ac:dyDescent="0.25">
      <c r="A221" s="51"/>
      <c r="B221" s="52"/>
      <c r="C221" s="51"/>
      <c r="D221" s="51"/>
      <c r="E221" s="51"/>
      <c r="F221" s="51"/>
      <c r="G221" s="51"/>
    </row>
    <row r="222" spans="1:7" x14ac:dyDescent="0.25">
      <c r="A222" s="51"/>
      <c r="B222" s="52"/>
      <c r="C222" s="51"/>
      <c r="D222" s="51"/>
      <c r="E222" s="51"/>
      <c r="F222" s="51"/>
      <c r="G222" s="51"/>
    </row>
    <row r="223" spans="1:7" x14ac:dyDescent="0.25">
      <c r="A223" s="51"/>
      <c r="B223" s="52"/>
      <c r="C223" s="51"/>
      <c r="D223" s="51"/>
      <c r="E223" s="51"/>
      <c r="F223" s="51"/>
      <c r="G223" s="51"/>
    </row>
    <row r="224" spans="1:7" x14ac:dyDescent="0.25">
      <c r="A224" s="51"/>
      <c r="B224" s="52"/>
      <c r="C224" s="51"/>
      <c r="D224" s="51"/>
      <c r="E224" s="51"/>
      <c r="F224" s="51"/>
      <c r="G224" s="51"/>
    </row>
    <row r="225" spans="1:7" x14ac:dyDescent="0.25">
      <c r="A225" s="51"/>
      <c r="B225" s="52"/>
      <c r="C225" s="51"/>
      <c r="D225" s="51"/>
      <c r="E225" s="51"/>
      <c r="F225" s="51"/>
      <c r="G225" s="51"/>
    </row>
    <row r="226" spans="1:7" x14ac:dyDescent="0.25">
      <c r="A226" s="51"/>
      <c r="B226" s="52"/>
      <c r="C226" s="51"/>
      <c r="D226" s="51"/>
      <c r="E226" s="51"/>
      <c r="F226" s="51"/>
      <c r="G226" s="51"/>
    </row>
    <row r="227" spans="1:7" x14ac:dyDescent="0.25">
      <c r="A227" s="51"/>
      <c r="B227" s="52"/>
      <c r="C227" s="51"/>
      <c r="D227" s="51"/>
      <c r="E227" s="51"/>
      <c r="F227" s="51"/>
      <c r="G227" s="51"/>
    </row>
    <row r="228" spans="1:7" x14ac:dyDescent="0.25">
      <c r="A228" s="51"/>
      <c r="B228" s="52"/>
      <c r="C228" s="51"/>
      <c r="D228" s="51"/>
      <c r="E228" s="51"/>
      <c r="F228" s="51"/>
      <c r="G228" s="51"/>
    </row>
    <row r="229" spans="1:7" x14ac:dyDescent="0.25">
      <c r="A229" s="51"/>
      <c r="B229" s="52"/>
      <c r="C229" s="51"/>
      <c r="D229" s="51"/>
      <c r="E229" s="51"/>
      <c r="F229" s="51"/>
      <c r="G229" s="51"/>
    </row>
    <row r="230" spans="1:7" x14ac:dyDescent="0.25">
      <c r="A230" s="51"/>
      <c r="B230" s="52"/>
      <c r="C230" s="51"/>
      <c r="D230" s="51"/>
      <c r="E230" s="51"/>
      <c r="F230" s="51"/>
      <c r="G230" s="51"/>
    </row>
    <row r="231" spans="1:7" x14ac:dyDescent="0.25">
      <c r="A231" s="51"/>
      <c r="B231" s="52"/>
      <c r="C231" s="51"/>
      <c r="D231" s="51"/>
      <c r="E231" s="51"/>
      <c r="F231" s="51"/>
      <c r="G231" s="51"/>
    </row>
    <row r="232" spans="1:7" x14ac:dyDescent="0.25">
      <c r="A232" s="51"/>
      <c r="B232" s="52"/>
      <c r="C232" s="51"/>
      <c r="D232" s="51"/>
      <c r="E232" s="51"/>
      <c r="F232" s="51"/>
      <c r="G232" s="51"/>
    </row>
    <row r="233" spans="1:7" x14ac:dyDescent="0.25">
      <c r="A233" s="51"/>
      <c r="B233" s="52"/>
      <c r="C233" s="51"/>
      <c r="D233" s="51"/>
      <c r="E233" s="51"/>
      <c r="F233" s="51"/>
      <c r="G233" s="51"/>
    </row>
    <row r="234" spans="1:7" x14ac:dyDescent="0.25">
      <c r="A234" s="51"/>
      <c r="B234" s="52"/>
      <c r="C234" s="51"/>
      <c r="D234" s="51"/>
      <c r="E234" s="51"/>
      <c r="F234" s="51"/>
      <c r="G234" s="51"/>
    </row>
    <row r="235" spans="1:7" x14ac:dyDescent="0.25">
      <c r="A235" s="51"/>
      <c r="B235" s="52"/>
      <c r="C235" s="51"/>
      <c r="D235" s="51"/>
      <c r="E235" s="51"/>
      <c r="F235" s="51"/>
      <c r="G235" s="51"/>
    </row>
    <row r="236" spans="1:7" x14ac:dyDescent="0.25">
      <c r="A236" s="51"/>
      <c r="B236" s="52"/>
      <c r="C236" s="51"/>
      <c r="D236" s="51"/>
      <c r="E236" s="51"/>
      <c r="F236" s="51"/>
      <c r="G236" s="51"/>
    </row>
    <row r="237" spans="1:7" x14ac:dyDescent="0.25">
      <c r="A237" s="51"/>
      <c r="B237" s="52"/>
      <c r="C237" s="51"/>
      <c r="D237" s="51"/>
      <c r="E237" s="51"/>
      <c r="F237" s="51"/>
      <c r="G237" s="51"/>
    </row>
    <row r="238" spans="1:7" x14ac:dyDescent="0.25">
      <c r="A238" s="51"/>
      <c r="B238" s="52"/>
      <c r="C238" s="51"/>
      <c r="D238" s="51"/>
      <c r="E238" s="51"/>
      <c r="F238" s="51"/>
      <c r="G238" s="51"/>
    </row>
    <row r="239" spans="1:7" x14ac:dyDescent="0.25">
      <c r="A239" s="51"/>
      <c r="B239" s="52"/>
      <c r="C239" s="51"/>
      <c r="D239" s="51"/>
      <c r="E239" s="51"/>
      <c r="F239" s="51"/>
      <c r="G239" s="51"/>
    </row>
    <row r="240" spans="1:7" x14ac:dyDescent="0.25">
      <c r="A240" s="51"/>
      <c r="B240" s="52"/>
      <c r="C240" s="51"/>
      <c r="D240" s="51"/>
      <c r="E240" s="51"/>
      <c r="F240" s="51"/>
      <c r="G240" s="51"/>
    </row>
    <row r="241" spans="1:7" x14ac:dyDescent="0.25">
      <c r="A241" s="51"/>
      <c r="B241" s="52"/>
      <c r="C241" s="51"/>
      <c r="D241" s="51"/>
      <c r="E241" s="51"/>
      <c r="F241" s="51"/>
      <c r="G241" s="51"/>
    </row>
    <row r="242" spans="1:7" x14ac:dyDescent="0.25">
      <c r="A242" s="51"/>
      <c r="B242" s="52"/>
      <c r="C242" s="51"/>
      <c r="D242" s="51"/>
      <c r="E242" s="51"/>
      <c r="F242" s="51"/>
      <c r="G242" s="51"/>
    </row>
    <row r="243" spans="1:7" x14ac:dyDescent="0.25">
      <c r="A243" s="51"/>
      <c r="B243" s="52"/>
      <c r="C243" s="51"/>
      <c r="D243" s="51"/>
      <c r="E243" s="51"/>
      <c r="F243" s="51"/>
      <c r="G243" s="51"/>
    </row>
    <row r="244" spans="1:7" x14ac:dyDescent="0.25">
      <c r="A244" s="51"/>
      <c r="B244" s="52"/>
      <c r="C244" s="51"/>
      <c r="D244" s="51"/>
      <c r="E244" s="51"/>
      <c r="F244" s="51"/>
      <c r="G244" s="51"/>
    </row>
    <row r="245" spans="1:7" x14ac:dyDescent="0.25">
      <c r="A245" s="51"/>
      <c r="B245" s="52"/>
      <c r="C245" s="51"/>
      <c r="D245" s="51"/>
      <c r="E245" s="51"/>
      <c r="F245" s="51"/>
      <c r="G245" s="51"/>
    </row>
    <row r="246" spans="1:7" x14ac:dyDescent="0.25">
      <c r="A246" s="51"/>
      <c r="B246" s="52"/>
      <c r="C246" s="51"/>
      <c r="D246" s="51"/>
      <c r="E246" s="51"/>
      <c r="F246" s="51"/>
      <c r="G246" s="51"/>
    </row>
    <row r="247" spans="1:7" x14ac:dyDescent="0.25">
      <c r="A247" s="51"/>
      <c r="B247" s="52"/>
      <c r="C247" s="51"/>
      <c r="D247" s="51"/>
      <c r="E247" s="51"/>
      <c r="F247" s="51"/>
      <c r="G247" s="51"/>
    </row>
    <row r="248" spans="1:7" x14ac:dyDescent="0.25">
      <c r="A248" s="51"/>
      <c r="B248" s="52"/>
      <c r="C248" s="51"/>
      <c r="D248" s="51"/>
      <c r="E248" s="51"/>
      <c r="F248" s="51"/>
      <c r="G248" s="51"/>
    </row>
    <row r="249" spans="1:7" x14ac:dyDescent="0.25">
      <c r="A249" s="51"/>
      <c r="B249" s="52"/>
      <c r="C249" s="51"/>
      <c r="D249" s="51"/>
      <c r="E249" s="51"/>
      <c r="F249" s="51"/>
      <c r="G249" s="51"/>
    </row>
    <row r="250" spans="1:7" x14ac:dyDescent="0.25">
      <c r="A250" s="51"/>
      <c r="B250" s="52"/>
      <c r="C250" s="51"/>
      <c r="D250" s="51"/>
      <c r="E250" s="51"/>
      <c r="F250" s="51"/>
      <c r="G250" s="51"/>
    </row>
    <row r="251" spans="1:7" x14ac:dyDescent="0.25">
      <c r="A251" s="51"/>
      <c r="B251" s="52"/>
      <c r="C251" s="51"/>
      <c r="D251" s="51"/>
      <c r="E251" s="51"/>
      <c r="F251" s="51"/>
      <c r="G251" s="51"/>
    </row>
    <row r="252" spans="1:7" x14ac:dyDescent="0.25">
      <c r="A252" s="51"/>
      <c r="B252" s="52"/>
      <c r="C252" s="51"/>
      <c r="D252" s="51"/>
      <c r="E252" s="51"/>
      <c r="F252" s="51"/>
      <c r="G252" s="51"/>
    </row>
    <row r="253" spans="1:7" x14ac:dyDescent="0.25">
      <c r="A253" s="51"/>
      <c r="B253" s="52"/>
      <c r="C253" s="51"/>
      <c r="D253" s="51"/>
      <c r="E253" s="51"/>
      <c r="F253" s="51"/>
      <c r="G253" s="51"/>
    </row>
    <row r="254" spans="1:7" x14ac:dyDescent="0.25">
      <c r="A254" s="51"/>
      <c r="B254" s="52"/>
      <c r="C254" s="51"/>
      <c r="D254" s="51"/>
      <c r="E254" s="51"/>
      <c r="F254" s="51"/>
      <c r="G254" s="51"/>
    </row>
    <row r="255" spans="1:7" x14ac:dyDescent="0.25">
      <c r="A255" s="51"/>
      <c r="B255" s="52"/>
      <c r="C255" s="51"/>
      <c r="D255" s="51"/>
      <c r="E255" s="51"/>
      <c r="F255" s="51"/>
      <c r="G255" s="51"/>
    </row>
    <row r="256" spans="1:7" x14ac:dyDescent="0.25">
      <c r="A256" s="51"/>
      <c r="B256" s="52"/>
      <c r="C256" s="51"/>
      <c r="D256" s="51"/>
      <c r="E256" s="51"/>
      <c r="F256" s="51"/>
      <c r="G256" s="51"/>
    </row>
    <row r="257" spans="1:7" x14ac:dyDescent="0.25">
      <c r="A257" s="51"/>
      <c r="B257" s="52"/>
      <c r="C257" s="51"/>
      <c r="D257" s="51"/>
      <c r="E257" s="51"/>
      <c r="F257" s="51"/>
      <c r="G257" s="51"/>
    </row>
    <row r="258" spans="1:7" x14ac:dyDescent="0.25">
      <c r="A258" s="51"/>
      <c r="B258" s="52"/>
      <c r="C258" s="51"/>
      <c r="D258" s="51"/>
      <c r="E258" s="51"/>
      <c r="F258" s="51"/>
      <c r="G258" s="51"/>
    </row>
    <row r="259" spans="1:7" x14ac:dyDescent="0.25">
      <c r="A259" s="51"/>
      <c r="B259" s="52"/>
      <c r="C259" s="51"/>
      <c r="D259" s="51"/>
      <c r="E259" s="51"/>
      <c r="F259" s="51"/>
      <c r="G259" s="51"/>
    </row>
    <row r="260" spans="1:7" x14ac:dyDescent="0.25">
      <c r="A260" s="51"/>
      <c r="B260" s="52"/>
      <c r="C260" s="51"/>
      <c r="D260" s="51"/>
      <c r="E260" s="51"/>
      <c r="F260" s="51"/>
      <c r="G260" s="51"/>
    </row>
    <row r="261" spans="1:7" x14ac:dyDescent="0.25">
      <c r="A261" s="51"/>
      <c r="B261" s="52"/>
      <c r="C261" s="51"/>
      <c r="D261" s="51"/>
      <c r="E261" s="51"/>
      <c r="F261" s="51"/>
      <c r="G261" s="51"/>
    </row>
    <row r="262" spans="1:7" x14ac:dyDescent="0.25">
      <c r="A262" s="51"/>
      <c r="B262" s="52"/>
      <c r="C262" s="51"/>
      <c r="D262" s="51"/>
      <c r="E262" s="51"/>
      <c r="F262" s="51"/>
      <c r="G262" s="51"/>
    </row>
    <row r="263" spans="1:7" x14ac:dyDescent="0.25">
      <c r="A263" s="51"/>
      <c r="B263" s="52"/>
      <c r="C263" s="51"/>
      <c r="D263" s="51"/>
      <c r="E263" s="51"/>
      <c r="F263" s="51"/>
      <c r="G263" s="51"/>
    </row>
    <row r="264" spans="1:7" x14ac:dyDescent="0.25">
      <c r="A264" s="51"/>
      <c r="B264" s="52"/>
      <c r="C264" s="51"/>
      <c r="D264" s="51"/>
      <c r="E264" s="51"/>
      <c r="F264" s="51"/>
      <c r="G264" s="51"/>
    </row>
    <row r="265" spans="1:7" x14ac:dyDescent="0.25">
      <c r="A265" s="51"/>
      <c r="B265" s="52"/>
      <c r="C265" s="51"/>
      <c r="D265" s="51"/>
      <c r="E265" s="51"/>
      <c r="F265" s="51"/>
      <c r="G265" s="51"/>
    </row>
    <row r="266" spans="1:7" x14ac:dyDescent="0.25">
      <c r="A266" s="51"/>
      <c r="B266" s="52"/>
      <c r="C266" s="51"/>
      <c r="D266" s="51"/>
      <c r="E266" s="51"/>
      <c r="F266" s="51"/>
      <c r="G266" s="51"/>
    </row>
    <row r="267" spans="1:7" x14ac:dyDescent="0.25">
      <c r="A267" s="51"/>
      <c r="B267" s="52"/>
      <c r="C267" s="51"/>
      <c r="D267" s="51"/>
      <c r="E267" s="51"/>
      <c r="F267" s="51"/>
      <c r="G267" s="51"/>
    </row>
    <row r="268" spans="1:7" x14ac:dyDescent="0.25">
      <c r="A268" s="51"/>
      <c r="B268" s="52"/>
      <c r="C268" s="51"/>
      <c r="D268" s="51"/>
      <c r="E268" s="51"/>
      <c r="F268" s="51"/>
      <c r="G268" s="51"/>
    </row>
    <row r="269" spans="1:7" x14ac:dyDescent="0.25">
      <c r="A269" s="51"/>
      <c r="B269" s="52"/>
      <c r="C269" s="51"/>
      <c r="D269" s="51"/>
      <c r="E269" s="51"/>
      <c r="F269" s="51"/>
      <c r="G269" s="51"/>
    </row>
    <row r="270" spans="1:7" x14ac:dyDescent="0.25">
      <c r="A270" s="51"/>
      <c r="B270" s="52"/>
      <c r="C270" s="51"/>
      <c r="D270" s="51"/>
      <c r="E270" s="51"/>
      <c r="F270" s="51"/>
      <c r="G270" s="51"/>
    </row>
    <row r="271" spans="1:7" x14ac:dyDescent="0.25">
      <c r="A271" s="51"/>
      <c r="B271" s="52"/>
      <c r="C271" s="51"/>
      <c r="D271" s="51"/>
      <c r="E271" s="51"/>
      <c r="F271" s="51"/>
      <c r="G271" s="51"/>
    </row>
    <row r="272" spans="1:7" x14ac:dyDescent="0.25">
      <c r="A272" s="51"/>
      <c r="B272" s="52"/>
      <c r="C272" s="51"/>
      <c r="D272" s="51"/>
      <c r="E272" s="51"/>
      <c r="F272" s="51"/>
      <c r="G272" s="51"/>
    </row>
    <row r="273" spans="1:7" x14ac:dyDescent="0.25">
      <c r="A273" s="51"/>
      <c r="B273" s="52"/>
      <c r="C273" s="51"/>
      <c r="D273" s="51"/>
      <c r="E273" s="51"/>
      <c r="F273" s="51"/>
      <c r="G273" s="51"/>
    </row>
    <row r="274" spans="1:7" x14ac:dyDescent="0.25">
      <c r="A274" s="51"/>
      <c r="B274" s="52"/>
      <c r="C274" s="51"/>
      <c r="D274" s="51"/>
      <c r="E274" s="51"/>
      <c r="F274" s="51"/>
      <c r="G274" s="51"/>
    </row>
    <row r="275" spans="1:7" x14ac:dyDescent="0.25">
      <c r="A275" s="51"/>
      <c r="B275" s="52"/>
      <c r="C275" s="51"/>
      <c r="D275" s="51"/>
      <c r="E275" s="51"/>
      <c r="F275" s="51"/>
      <c r="G275" s="51"/>
    </row>
    <row r="276" spans="1:7" x14ac:dyDescent="0.25">
      <c r="A276" s="51"/>
      <c r="B276" s="52"/>
      <c r="C276" s="51"/>
      <c r="D276" s="51"/>
      <c r="E276" s="51"/>
      <c r="F276" s="51"/>
      <c r="G276" s="51"/>
    </row>
    <row r="277" spans="1:7" x14ac:dyDescent="0.25">
      <c r="A277" s="51"/>
      <c r="B277" s="52"/>
      <c r="C277" s="51"/>
      <c r="D277" s="51"/>
      <c r="E277" s="51"/>
      <c r="F277" s="51"/>
      <c r="G277" s="51"/>
    </row>
    <row r="278" spans="1:7" x14ac:dyDescent="0.25">
      <c r="A278" s="51"/>
      <c r="B278" s="52"/>
      <c r="C278" s="51"/>
      <c r="D278" s="51"/>
      <c r="E278" s="51"/>
      <c r="F278" s="51"/>
      <c r="G278" s="51"/>
    </row>
    <row r="279" spans="1:7" x14ac:dyDescent="0.25">
      <c r="A279" s="51"/>
      <c r="B279" s="52"/>
      <c r="C279" s="51"/>
      <c r="D279" s="51"/>
      <c r="E279" s="51"/>
      <c r="F279" s="51"/>
      <c r="G279" s="51"/>
    </row>
    <row r="280" spans="1:7" x14ac:dyDescent="0.25">
      <c r="A280" s="51"/>
      <c r="B280" s="52"/>
      <c r="C280" s="51"/>
      <c r="D280" s="51"/>
      <c r="E280" s="51"/>
      <c r="F280" s="51"/>
      <c r="G280" s="51"/>
    </row>
    <row r="281" spans="1:7" x14ac:dyDescent="0.25">
      <c r="A281" s="51"/>
      <c r="B281" s="52"/>
      <c r="C281" s="51"/>
      <c r="D281" s="51"/>
      <c r="E281" s="51"/>
      <c r="F281" s="51"/>
      <c r="G281" s="51"/>
    </row>
    <row r="282" spans="1:7" x14ac:dyDescent="0.25">
      <c r="A282" s="51"/>
      <c r="B282" s="52"/>
      <c r="C282" s="51"/>
      <c r="D282" s="51"/>
      <c r="E282" s="51"/>
      <c r="F282" s="51"/>
      <c r="G282" s="51"/>
    </row>
    <row r="283" spans="1:7" x14ac:dyDescent="0.25">
      <c r="A283" s="51"/>
      <c r="B283" s="52"/>
      <c r="C283" s="51"/>
      <c r="D283" s="51"/>
      <c r="E283" s="51"/>
      <c r="F283" s="51"/>
      <c r="G283" s="51"/>
    </row>
    <row r="284" spans="1:7" x14ac:dyDescent="0.25">
      <c r="A284" s="51"/>
      <c r="B284" s="52"/>
      <c r="C284" s="51"/>
      <c r="D284" s="51"/>
      <c r="E284" s="51"/>
      <c r="F284" s="51"/>
      <c r="G284" s="51"/>
    </row>
    <row r="285" spans="1:7" x14ac:dyDescent="0.25">
      <c r="A285" s="51"/>
      <c r="B285" s="52"/>
      <c r="C285" s="51"/>
      <c r="D285" s="51"/>
      <c r="E285" s="51"/>
      <c r="F285" s="51"/>
      <c r="G285" s="51"/>
    </row>
    <row r="286" spans="1:7" x14ac:dyDescent="0.25">
      <c r="A286" s="51"/>
      <c r="B286" s="52"/>
      <c r="C286" s="51"/>
      <c r="D286" s="51"/>
      <c r="E286" s="51"/>
      <c r="F286" s="51"/>
      <c r="G286" s="51"/>
    </row>
    <row r="287" spans="1:7" x14ac:dyDescent="0.25">
      <c r="A287" s="51"/>
      <c r="B287" s="52"/>
      <c r="C287" s="51"/>
      <c r="D287" s="51"/>
      <c r="E287" s="51"/>
      <c r="F287" s="51"/>
      <c r="G287" s="51"/>
    </row>
    <row r="288" spans="1:7" x14ac:dyDescent="0.25">
      <c r="A288" s="51"/>
      <c r="B288" s="52"/>
      <c r="C288" s="51"/>
      <c r="D288" s="51"/>
      <c r="E288" s="51"/>
      <c r="F288" s="51"/>
      <c r="G288" s="51"/>
    </row>
    <row r="289" spans="1:7" x14ac:dyDescent="0.25">
      <c r="A289" s="51"/>
      <c r="B289" s="52"/>
      <c r="C289" s="51"/>
      <c r="D289" s="51"/>
      <c r="E289" s="51"/>
      <c r="F289" s="51"/>
      <c r="G289" s="51"/>
    </row>
    <row r="290" spans="1:7" x14ac:dyDescent="0.25">
      <c r="A290" s="51"/>
      <c r="B290" s="52"/>
      <c r="C290" s="51"/>
      <c r="D290" s="51"/>
      <c r="E290" s="51"/>
      <c r="F290" s="51"/>
      <c r="G290" s="51"/>
    </row>
    <row r="291" spans="1:7" x14ac:dyDescent="0.25">
      <c r="A291" s="51"/>
      <c r="B291" s="52"/>
      <c r="C291" s="51"/>
      <c r="D291" s="51"/>
      <c r="E291" s="51"/>
      <c r="F291" s="51"/>
      <c r="G291" s="51"/>
    </row>
    <row r="292" spans="1:7" x14ac:dyDescent="0.25">
      <c r="A292" s="51"/>
      <c r="B292" s="52"/>
      <c r="C292" s="51"/>
      <c r="D292" s="51"/>
      <c r="E292" s="51"/>
      <c r="F292" s="51"/>
      <c r="G292" s="51"/>
    </row>
    <row r="293" spans="1:7" x14ac:dyDescent="0.25">
      <c r="A293" s="51"/>
      <c r="B293" s="52"/>
      <c r="C293" s="51"/>
      <c r="D293" s="51"/>
      <c r="E293" s="51"/>
      <c r="F293" s="51"/>
      <c r="G293" s="51"/>
    </row>
    <row r="294" spans="1:7" x14ac:dyDescent="0.25">
      <c r="A294" s="51"/>
      <c r="B294" s="52"/>
      <c r="C294" s="51"/>
      <c r="D294" s="51"/>
      <c r="E294" s="51"/>
      <c r="F294" s="51"/>
      <c r="G294" s="51"/>
    </row>
    <row r="295" spans="1:7" x14ac:dyDescent="0.25">
      <c r="A295" s="51"/>
      <c r="B295" s="52"/>
      <c r="C295" s="51"/>
      <c r="D295" s="51"/>
      <c r="E295" s="51"/>
      <c r="F295" s="51"/>
      <c r="G295" s="51"/>
    </row>
    <row r="296" spans="1:7" x14ac:dyDescent="0.25">
      <c r="A296" s="51"/>
      <c r="B296" s="52"/>
      <c r="C296" s="51"/>
      <c r="D296" s="51"/>
      <c r="E296" s="51"/>
      <c r="F296" s="51"/>
      <c r="G296" s="51"/>
    </row>
    <row r="297" spans="1:7" x14ac:dyDescent="0.25">
      <c r="A297" s="51"/>
      <c r="B297" s="52"/>
      <c r="C297" s="51"/>
      <c r="D297" s="51"/>
      <c r="E297" s="51"/>
      <c r="F297" s="51"/>
      <c r="G297" s="51"/>
    </row>
    <row r="298" spans="1:7" x14ac:dyDescent="0.25">
      <c r="A298" s="51"/>
      <c r="B298" s="52"/>
      <c r="C298" s="51"/>
      <c r="D298" s="51"/>
      <c r="E298" s="51"/>
      <c r="F298" s="51"/>
      <c r="G298" s="51"/>
    </row>
    <row r="299" spans="1:7" x14ac:dyDescent="0.25">
      <c r="A299" s="51"/>
      <c r="B299" s="52"/>
      <c r="C299" s="51"/>
      <c r="D299" s="51"/>
      <c r="E299" s="51"/>
      <c r="F299" s="51"/>
      <c r="G299" s="51"/>
    </row>
    <row r="300" spans="1:7" x14ac:dyDescent="0.25">
      <c r="A300" s="51"/>
      <c r="B300" s="52"/>
      <c r="C300" s="51"/>
      <c r="D300" s="51"/>
      <c r="E300" s="51"/>
      <c r="F300" s="51"/>
      <c r="G300" s="51"/>
    </row>
    <row r="301" spans="1:7" x14ac:dyDescent="0.25">
      <c r="A301" s="51"/>
      <c r="B301" s="52"/>
      <c r="C301" s="51"/>
      <c r="D301" s="51"/>
      <c r="E301" s="51"/>
      <c r="F301" s="51"/>
      <c r="G301" s="51"/>
    </row>
    <row r="302" spans="1:7" x14ac:dyDescent="0.25">
      <c r="A302" s="51"/>
      <c r="B302" s="52"/>
      <c r="C302" s="51"/>
      <c r="D302" s="51"/>
      <c r="E302" s="51"/>
      <c r="F302" s="51"/>
      <c r="G302" s="51"/>
    </row>
    <row r="303" spans="1:7" x14ac:dyDescent="0.25">
      <c r="A303" s="51"/>
      <c r="B303" s="52"/>
      <c r="C303" s="51"/>
      <c r="D303" s="51"/>
      <c r="E303" s="51"/>
      <c r="F303" s="51"/>
      <c r="G303" s="51"/>
    </row>
    <row r="304" spans="1:7" x14ac:dyDescent="0.25">
      <c r="A304" s="51"/>
      <c r="B304" s="52"/>
      <c r="C304" s="51"/>
      <c r="D304" s="51"/>
      <c r="E304" s="51"/>
      <c r="F304" s="51"/>
      <c r="G304" s="51"/>
    </row>
    <row r="305" spans="1:7" x14ac:dyDescent="0.25">
      <c r="A305" s="51"/>
      <c r="B305" s="52"/>
      <c r="C305" s="51"/>
      <c r="D305" s="51"/>
      <c r="E305" s="51"/>
      <c r="F305" s="51"/>
      <c r="G305" s="51"/>
    </row>
    <row r="306" spans="1:7" x14ac:dyDescent="0.25">
      <c r="A306" s="51"/>
      <c r="B306" s="52"/>
      <c r="C306" s="51"/>
      <c r="D306" s="51"/>
      <c r="E306" s="51"/>
      <c r="F306" s="51"/>
      <c r="G306" s="51"/>
    </row>
    <row r="307" spans="1:7" x14ac:dyDescent="0.25">
      <c r="A307" s="51"/>
      <c r="B307" s="52"/>
      <c r="C307" s="51"/>
      <c r="D307" s="51"/>
      <c r="E307" s="51"/>
      <c r="F307" s="51"/>
      <c r="G307" s="51"/>
    </row>
    <row r="308" spans="1:7" x14ac:dyDescent="0.25">
      <c r="A308" s="51"/>
      <c r="B308" s="52"/>
      <c r="C308" s="51"/>
      <c r="D308" s="51"/>
      <c r="E308" s="51"/>
      <c r="F308" s="51"/>
      <c r="G308" s="51"/>
    </row>
    <row r="309" spans="1:7" x14ac:dyDescent="0.25">
      <c r="A309" s="51"/>
      <c r="B309" s="52"/>
      <c r="C309" s="51"/>
      <c r="D309" s="51"/>
      <c r="E309" s="51"/>
      <c r="F309" s="51"/>
      <c r="G309" s="51"/>
    </row>
    <row r="310" spans="1:7" x14ac:dyDescent="0.25">
      <c r="A310" s="51"/>
      <c r="B310" s="52"/>
      <c r="C310" s="51"/>
      <c r="D310" s="51"/>
      <c r="E310" s="51"/>
      <c r="F310" s="51"/>
      <c r="G310" s="51"/>
    </row>
    <row r="311" spans="1:7" x14ac:dyDescent="0.25">
      <c r="A311" s="51"/>
      <c r="B311" s="52"/>
      <c r="C311" s="51"/>
      <c r="D311" s="51"/>
      <c r="E311" s="51"/>
      <c r="F311" s="51"/>
      <c r="G311" s="51"/>
    </row>
    <row r="312" spans="1:7" x14ac:dyDescent="0.25">
      <c r="A312" s="51"/>
      <c r="B312" s="52"/>
      <c r="C312" s="51"/>
      <c r="D312" s="51"/>
      <c r="E312" s="51"/>
      <c r="F312" s="51"/>
      <c r="G312" s="51"/>
    </row>
    <row r="313" spans="1:7" x14ac:dyDescent="0.25">
      <c r="A313" s="51"/>
      <c r="B313" s="52"/>
      <c r="C313" s="51"/>
      <c r="D313" s="51"/>
      <c r="E313" s="51"/>
      <c r="F313" s="51"/>
      <c r="G313" s="51"/>
    </row>
    <row r="314" spans="1:7" x14ac:dyDescent="0.25">
      <c r="A314" s="51"/>
      <c r="B314" s="52"/>
      <c r="C314" s="51"/>
      <c r="D314" s="51"/>
      <c r="E314" s="51"/>
      <c r="F314" s="51"/>
      <c r="G314" s="51"/>
    </row>
    <row r="315" spans="1:7" x14ac:dyDescent="0.25">
      <c r="A315" s="51"/>
      <c r="B315" s="52"/>
      <c r="C315" s="51"/>
      <c r="D315" s="51"/>
      <c r="E315" s="51"/>
      <c r="F315" s="51"/>
      <c r="G315" s="51"/>
    </row>
    <row r="316" spans="1:7" x14ac:dyDescent="0.25">
      <c r="A316" s="51"/>
      <c r="B316" s="52"/>
      <c r="C316" s="51"/>
      <c r="D316" s="51"/>
      <c r="E316" s="51"/>
      <c r="F316" s="51"/>
      <c r="G316" s="51"/>
    </row>
    <row r="317" spans="1:7" x14ac:dyDescent="0.25">
      <c r="A317" s="51"/>
      <c r="B317" s="52"/>
      <c r="C317" s="51"/>
      <c r="D317" s="51"/>
      <c r="E317" s="51"/>
      <c r="F317" s="51"/>
      <c r="G317" s="51"/>
    </row>
    <row r="318" spans="1:7" x14ac:dyDescent="0.25">
      <c r="A318" s="51"/>
      <c r="B318" s="52"/>
      <c r="C318" s="51"/>
      <c r="D318" s="51"/>
      <c r="E318" s="51"/>
      <c r="F318" s="51"/>
      <c r="G318" s="51"/>
    </row>
    <row r="319" spans="1:7" x14ac:dyDescent="0.25">
      <c r="A319" s="51"/>
      <c r="B319" s="52"/>
      <c r="C319" s="51"/>
      <c r="D319" s="51"/>
      <c r="E319" s="51"/>
      <c r="F319" s="51"/>
      <c r="G319" s="51"/>
    </row>
    <row r="320" spans="1:7" x14ac:dyDescent="0.25">
      <c r="A320" s="51"/>
      <c r="B320" s="52"/>
      <c r="C320" s="51"/>
      <c r="D320" s="51"/>
      <c r="E320" s="51"/>
      <c r="F320" s="51"/>
      <c r="G320" s="51"/>
    </row>
    <row r="321" spans="1:7" x14ac:dyDescent="0.25">
      <c r="A321" s="51"/>
      <c r="B321" s="52"/>
      <c r="C321" s="51"/>
      <c r="D321" s="51"/>
      <c r="E321" s="51"/>
      <c r="F321" s="51"/>
      <c r="G321" s="51"/>
    </row>
    <row r="322" spans="1:7" x14ac:dyDescent="0.25">
      <c r="A322" s="51"/>
      <c r="B322" s="52"/>
      <c r="C322" s="51"/>
      <c r="D322" s="51"/>
      <c r="E322" s="51"/>
      <c r="F322" s="51"/>
      <c r="G322" s="51"/>
    </row>
    <row r="323" spans="1:7" x14ac:dyDescent="0.25">
      <c r="A323" s="51"/>
      <c r="B323" s="52"/>
      <c r="C323" s="51"/>
      <c r="D323" s="51"/>
      <c r="E323" s="51"/>
      <c r="F323" s="51"/>
      <c r="G323" s="51"/>
    </row>
    <row r="324" spans="1:7" x14ac:dyDescent="0.25">
      <c r="A324" s="51"/>
      <c r="B324" s="52"/>
      <c r="C324" s="51"/>
      <c r="D324" s="51"/>
      <c r="E324" s="51"/>
      <c r="F324" s="51"/>
      <c r="G324" s="51"/>
    </row>
    <row r="325" spans="1:7" x14ac:dyDescent="0.25">
      <c r="A325" s="51"/>
      <c r="B325" s="52"/>
      <c r="C325" s="51"/>
      <c r="D325" s="51"/>
      <c r="E325" s="51"/>
      <c r="F325" s="51"/>
      <c r="G325" s="51"/>
    </row>
    <row r="326" spans="1:7" x14ac:dyDescent="0.25">
      <c r="A326" s="51"/>
      <c r="B326" s="52"/>
      <c r="C326" s="51"/>
      <c r="D326" s="51"/>
      <c r="E326" s="51"/>
      <c r="F326" s="51"/>
      <c r="G326" s="51"/>
    </row>
    <row r="327" spans="1:7" x14ac:dyDescent="0.25">
      <c r="A327" s="51"/>
      <c r="B327" s="52"/>
      <c r="C327" s="51"/>
      <c r="D327" s="51"/>
      <c r="E327" s="51"/>
      <c r="F327" s="51"/>
      <c r="G327" s="51"/>
    </row>
    <row r="328" spans="1:7" x14ac:dyDescent="0.25">
      <c r="A328" s="51"/>
      <c r="B328" s="52"/>
      <c r="C328" s="51"/>
      <c r="D328" s="51"/>
      <c r="E328" s="51"/>
      <c r="F328" s="51"/>
      <c r="G328" s="51"/>
    </row>
    <row r="329" spans="1:7" x14ac:dyDescent="0.25">
      <c r="A329" s="51"/>
      <c r="B329" s="52"/>
      <c r="C329" s="51"/>
      <c r="D329" s="51"/>
      <c r="E329" s="51"/>
      <c r="F329" s="51"/>
      <c r="G329" s="51"/>
    </row>
    <row r="330" spans="1:7" x14ac:dyDescent="0.25">
      <c r="A330" s="51"/>
      <c r="B330" s="52"/>
      <c r="C330" s="51"/>
      <c r="D330" s="51"/>
      <c r="E330" s="51"/>
      <c r="F330" s="51"/>
      <c r="G330" s="51"/>
    </row>
    <row r="331" spans="1:7" x14ac:dyDescent="0.25">
      <c r="A331" s="51"/>
      <c r="B331" s="52"/>
      <c r="C331" s="51"/>
      <c r="D331" s="51"/>
      <c r="E331" s="51"/>
      <c r="F331" s="51"/>
      <c r="G331" s="51"/>
    </row>
    <row r="332" spans="1:7" x14ac:dyDescent="0.25">
      <c r="A332" s="51"/>
      <c r="B332" s="52"/>
      <c r="C332" s="51"/>
      <c r="D332" s="51"/>
      <c r="E332" s="51"/>
      <c r="F332" s="51"/>
      <c r="G332" s="51"/>
    </row>
    <row r="333" spans="1:7" x14ac:dyDescent="0.25">
      <c r="A333" s="51"/>
      <c r="B333" s="52"/>
      <c r="C333" s="51"/>
      <c r="D333" s="51"/>
      <c r="E333" s="51"/>
      <c r="F333" s="51"/>
      <c r="G333" s="51"/>
    </row>
    <row r="334" spans="1:7" x14ac:dyDescent="0.25">
      <c r="A334" s="51"/>
      <c r="B334" s="52"/>
      <c r="C334" s="51"/>
      <c r="D334" s="51"/>
      <c r="E334" s="51"/>
      <c r="F334" s="51"/>
      <c r="G334" s="51"/>
    </row>
    <row r="335" spans="1:7" x14ac:dyDescent="0.25">
      <c r="A335" s="51"/>
      <c r="B335" s="52"/>
      <c r="C335" s="51"/>
      <c r="D335" s="51"/>
      <c r="E335" s="51"/>
      <c r="F335" s="51"/>
      <c r="G335" s="51"/>
    </row>
    <row r="336" spans="1:7" x14ac:dyDescent="0.25">
      <c r="A336" s="51"/>
      <c r="B336" s="52"/>
      <c r="C336" s="51"/>
      <c r="D336" s="51"/>
      <c r="E336" s="51"/>
      <c r="F336" s="51"/>
      <c r="G336" s="51"/>
    </row>
    <row r="337" spans="1:7" x14ac:dyDescent="0.25">
      <c r="A337" s="51"/>
      <c r="B337" s="52"/>
      <c r="C337" s="51"/>
      <c r="D337" s="51"/>
      <c r="E337" s="51"/>
      <c r="F337" s="51"/>
      <c r="G337" s="51"/>
    </row>
    <row r="338" spans="1:7" x14ac:dyDescent="0.25">
      <c r="A338" s="51"/>
      <c r="B338" s="52"/>
      <c r="C338" s="51"/>
      <c r="D338" s="51"/>
      <c r="E338" s="51"/>
      <c r="F338" s="51"/>
      <c r="G338" s="51"/>
    </row>
    <row r="339" spans="1:7" x14ac:dyDescent="0.25">
      <c r="A339" s="51"/>
      <c r="B339" s="52"/>
      <c r="C339" s="51"/>
      <c r="D339" s="51"/>
      <c r="E339" s="51"/>
      <c r="F339" s="51"/>
      <c r="G339" s="51"/>
    </row>
    <row r="340" spans="1:7" x14ac:dyDescent="0.25">
      <c r="A340" s="51"/>
      <c r="B340" s="52"/>
      <c r="C340" s="51"/>
      <c r="D340" s="51"/>
      <c r="E340" s="51"/>
      <c r="F340" s="51"/>
      <c r="G340" s="51"/>
    </row>
    <row r="341" spans="1:7" x14ac:dyDescent="0.25">
      <c r="A341" s="51"/>
      <c r="B341" s="52"/>
      <c r="C341" s="51"/>
      <c r="D341" s="51"/>
      <c r="E341" s="51"/>
      <c r="F341" s="51"/>
      <c r="G341" s="51"/>
    </row>
    <row r="342" spans="1:7" x14ac:dyDescent="0.25">
      <c r="A342" s="51"/>
      <c r="B342" s="52"/>
      <c r="C342" s="51"/>
      <c r="D342" s="51"/>
      <c r="E342" s="51"/>
      <c r="F342" s="51"/>
      <c r="G342" s="51"/>
    </row>
    <row r="343" spans="1:7" x14ac:dyDescent="0.25">
      <c r="A343" s="51"/>
      <c r="B343" s="52"/>
      <c r="C343" s="51"/>
      <c r="D343" s="51"/>
      <c r="E343" s="51"/>
      <c r="F343" s="51"/>
      <c r="G343" s="51"/>
    </row>
    <row r="344" spans="1:7" x14ac:dyDescent="0.25">
      <c r="A344" s="51"/>
      <c r="B344" s="52"/>
      <c r="C344" s="51"/>
      <c r="D344" s="51"/>
      <c r="E344" s="51"/>
      <c r="F344" s="51"/>
      <c r="G344" s="51"/>
    </row>
    <row r="345" spans="1:7" x14ac:dyDescent="0.25">
      <c r="A345" s="51"/>
      <c r="B345" s="52"/>
      <c r="C345" s="51"/>
      <c r="D345" s="51"/>
      <c r="E345" s="51"/>
      <c r="F345" s="51"/>
      <c r="G345" s="51"/>
    </row>
    <row r="346" spans="1:7" x14ac:dyDescent="0.25">
      <c r="A346" s="51"/>
      <c r="B346" s="52"/>
      <c r="C346" s="51"/>
      <c r="D346" s="51"/>
      <c r="E346" s="51"/>
      <c r="F346" s="51"/>
      <c r="G346" s="51"/>
    </row>
    <row r="347" spans="1:7" x14ac:dyDescent="0.25">
      <c r="A347" s="51"/>
      <c r="B347" s="52"/>
      <c r="C347" s="51"/>
      <c r="D347" s="51"/>
      <c r="E347" s="51"/>
      <c r="F347" s="51"/>
      <c r="G347" s="51"/>
    </row>
    <row r="348" spans="1:7" x14ac:dyDescent="0.25">
      <c r="A348" s="51"/>
      <c r="B348" s="52"/>
      <c r="C348" s="51"/>
      <c r="D348" s="51"/>
      <c r="E348" s="51"/>
      <c r="F348" s="51"/>
      <c r="G348" s="51"/>
    </row>
    <row r="349" spans="1:7" x14ac:dyDescent="0.25">
      <c r="A349" s="51"/>
      <c r="B349" s="52"/>
      <c r="C349" s="51"/>
      <c r="D349" s="51"/>
      <c r="E349" s="51"/>
      <c r="F349" s="51"/>
      <c r="G349" s="51"/>
    </row>
    <row r="350" spans="1:7" x14ac:dyDescent="0.25">
      <c r="A350" s="51"/>
      <c r="B350" s="52"/>
      <c r="C350" s="51"/>
      <c r="D350" s="51"/>
      <c r="E350" s="51"/>
      <c r="F350" s="51"/>
      <c r="G350" s="51"/>
    </row>
    <row r="351" spans="1:7" x14ac:dyDescent="0.25">
      <c r="A351" s="51"/>
      <c r="B351" s="52"/>
      <c r="C351" s="51"/>
      <c r="D351" s="51"/>
      <c r="E351" s="51"/>
      <c r="F351" s="51"/>
      <c r="G351" s="51"/>
    </row>
    <row r="352" spans="1:7" x14ac:dyDescent="0.25">
      <c r="A352" s="51"/>
      <c r="B352" s="52"/>
      <c r="C352" s="51"/>
      <c r="D352" s="51"/>
      <c r="E352" s="51"/>
      <c r="F352" s="51"/>
      <c r="G352" s="51"/>
    </row>
    <row r="353" spans="1:7" x14ac:dyDescent="0.25">
      <c r="A353" s="51"/>
      <c r="B353" s="52"/>
      <c r="C353" s="51"/>
      <c r="D353" s="51"/>
      <c r="E353" s="51"/>
      <c r="F353" s="51"/>
      <c r="G353" s="51"/>
    </row>
    <row r="354" spans="1:7" x14ac:dyDescent="0.25">
      <c r="A354" s="51"/>
      <c r="B354" s="52"/>
      <c r="C354" s="51"/>
      <c r="D354" s="51"/>
      <c r="E354" s="51"/>
      <c r="F354" s="51"/>
      <c r="G354" s="51"/>
    </row>
    <row r="355" spans="1:7" x14ac:dyDescent="0.25">
      <c r="A355" s="51"/>
      <c r="B355" s="52"/>
      <c r="C355" s="51"/>
      <c r="D355" s="51"/>
      <c r="E355" s="51"/>
      <c r="F355" s="51"/>
      <c r="G355" s="51"/>
    </row>
    <row r="356" spans="1:7" x14ac:dyDescent="0.25">
      <c r="A356" s="51"/>
      <c r="B356" s="52"/>
      <c r="C356" s="51"/>
      <c r="D356" s="51"/>
      <c r="E356" s="51"/>
      <c r="F356" s="51"/>
      <c r="G356" s="51"/>
    </row>
    <row r="357" spans="1:7" x14ac:dyDescent="0.25">
      <c r="A357" s="51"/>
      <c r="B357" s="52"/>
      <c r="C357" s="51"/>
      <c r="D357" s="51"/>
      <c r="E357" s="51"/>
      <c r="F357" s="51"/>
      <c r="G357" s="51"/>
    </row>
    <row r="358" spans="1:7" x14ac:dyDescent="0.25">
      <c r="A358" s="51"/>
      <c r="B358" s="52"/>
      <c r="C358" s="51"/>
      <c r="D358" s="51"/>
      <c r="E358" s="51"/>
      <c r="F358" s="51"/>
      <c r="G358" s="51"/>
    </row>
    <row r="359" spans="1:7" x14ac:dyDescent="0.25">
      <c r="A359" s="51"/>
      <c r="B359" s="52"/>
      <c r="C359" s="51"/>
      <c r="D359" s="51"/>
      <c r="E359" s="51"/>
      <c r="F359" s="51"/>
      <c r="G359" s="51"/>
    </row>
    <row r="360" spans="1:7" x14ac:dyDescent="0.25">
      <c r="A360" s="51"/>
      <c r="B360" s="52"/>
      <c r="C360" s="51"/>
      <c r="D360" s="51"/>
      <c r="E360" s="51"/>
      <c r="F360" s="51"/>
      <c r="G360" s="51"/>
    </row>
    <row r="361" spans="1:7" x14ac:dyDescent="0.25">
      <c r="A361" s="51"/>
      <c r="B361" s="52"/>
      <c r="C361" s="51"/>
      <c r="D361" s="51"/>
      <c r="E361" s="51"/>
      <c r="F361" s="51"/>
      <c r="G361" s="51"/>
    </row>
    <row r="362" spans="1:7" x14ac:dyDescent="0.25">
      <c r="A362" s="51"/>
      <c r="B362" s="52"/>
      <c r="C362" s="51"/>
      <c r="D362" s="51"/>
      <c r="E362" s="51"/>
      <c r="F362" s="51"/>
      <c r="G362" s="51"/>
    </row>
    <row r="363" spans="1:7" x14ac:dyDescent="0.25">
      <c r="A363" s="51"/>
      <c r="B363" s="52"/>
      <c r="C363" s="51"/>
      <c r="D363" s="51"/>
      <c r="E363" s="51"/>
      <c r="F363" s="51"/>
      <c r="G363" s="51"/>
    </row>
    <row r="364" spans="1:7" x14ac:dyDescent="0.25">
      <c r="A364" s="51"/>
      <c r="B364" s="52"/>
      <c r="C364" s="51"/>
      <c r="D364" s="51"/>
      <c r="E364" s="51"/>
      <c r="F364" s="51"/>
      <c r="G364" s="51"/>
    </row>
    <row r="365" spans="1:7" x14ac:dyDescent="0.25">
      <c r="A365" s="51"/>
      <c r="B365" s="52"/>
      <c r="C365" s="51"/>
      <c r="D365" s="51"/>
      <c r="E365" s="51"/>
      <c r="F365" s="51"/>
      <c r="G365" s="51"/>
    </row>
    <row r="366" spans="1:7" x14ac:dyDescent="0.25">
      <c r="A366" s="51"/>
      <c r="B366" s="52"/>
      <c r="C366" s="51"/>
      <c r="D366" s="51"/>
      <c r="E366" s="51"/>
      <c r="F366" s="51"/>
      <c r="G366" s="51"/>
    </row>
    <row r="367" spans="1:7" x14ac:dyDescent="0.25">
      <c r="A367" s="51"/>
      <c r="B367" s="52"/>
      <c r="C367" s="51"/>
      <c r="D367" s="51"/>
      <c r="E367" s="51"/>
      <c r="F367" s="51"/>
      <c r="G367" s="51"/>
    </row>
    <row r="368" spans="1:7" x14ac:dyDescent="0.25">
      <c r="A368" s="51"/>
      <c r="B368" s="52"/>
      <c r="C368" s="51"/>
      <c r="D368" s="51"/>
      <c r="E368" s="51"/>
      <c r="F368" s="51"/>
      <c r="G368" s="51"/>
    </row>
    <row r="369" spans="1:7" x14ac:dyDescent="0.25">
      <c r="A369" s="51"/>
      <c r="B369" s="52"/>
      <c r="C369" s="51"/>
      <c r="D369" s="51"/>
      <c r="E369" s="51"/>
      <c r="F369" s="51"/>
      <c r="G369" s="51"/>
    </row>
    <row r="370" spans="1:7" x14ac:dyDescent="0.25">
      <c r="A370" s="51"/>
      <c r="B370" s="52"/>
      <c r="C370" s="51"/>
      <c r="D370" s="51"/>
      <c r="E370" s="51"/>
      <c r="F370" s="51"/>
      <c r="G370" s="51"/>
    </row>
    <row r="371" spans="1:7" x14ac:dyDescent="0.25">
      <c r="A371" s="51"/>
      <c r="B371" s="52"/>
      <c r="C371" s="51"/>
      <c r="D371" s="51"/>
      <c r="E371" s="51"/>
      <c r="F371" s="51"/>
      <c r="G371" s="51"/>
    </row>
    <row r="372" spans="1:7" x14ac:dyDescent="0.25">
      <c r="A372" s="51"/>
      <c r="B372" s="52"/>
      <c r="C372" s="51"/>
      <c r="D372" s="51"/>
      <c r="E372" s="51"/>
      <c r="F372" s="51"/>
      <c r="G372" s="51"/>
    </row>
    <row r="373" spans="1:7" x14ac:dyDescent="0.25">
      <c r="A373" s="51"/>
      <c r="B373" s="52"/>
      <c r="C373" s="51"/>
      <c r="D373" s="51"/>
      <c r="E373" s="51"/>
      <c r="F373" s="51"/>
      <c r="G373" s="51"/>
    </row>
    <row r="374" spans="1:7" x14ac:dyDescent="0.25">
      <c r="A374" s="51"/>
      <c r="B374" s="52"/>
      <c r="C374" s="51"/>
      <c r="D374" s="51"/>
      <c r="E374" s="51"/>
      <c r="F374" s="51"/>
      <c r="G374" s="51"/>
    </row>
    <row r="375" spans="1:7" x14ac:dyDescent="0.25">
      <c r="A375" s="51"/>
      <c r="B375" s="52"/>
      <c r="C375" s="51"/>
      <c r="D375" s="51"/>
      <c r="E375" s="51"/>
      <c r="F375" s="51"/>
      <c r="G375" s="51"/>
    </row>
    <row r="376" spans="1:7" x14ac:dyDescent="0.25">
      <c r="A376" s="51"/>
      <c r="B376" s="52"/>
      <c r="C376" s="51"/>
      <c r="D376" s="51"/>
      <c r="E376" s="51"/>
      <c r="F376" s="51"/>
      <c r="G376" s="51"/>
    </row>
    <row r="377" spans="1:7" x14ac:dyDescent="0.25">
      <c r="A377" s="51"/>
      <c r="B377" s="52"/>
      <c r="C377" s="51"/>
      <c r="D377" s="51"/>
      <c r="E377" s="51"/>
      <c r="F377" s="51"/>
      <c r="G377" s="51"/>
    </row>
    <row r="378" spans="1:7" x14ac:dyDescent="0.25">
      <c r="A378" s="51"/>
      <c r="B378" s="52"/>
      <c r="C378" s="51"/>
      <c r="D378" s="51"/>
      <c r="E378" s="51"/>
      <c r="F378" s="51"/>
      <c r="G378" s="51"/>
    </row>
    <row r="379" spans="1:7" x14ac:dyDescent="0.25">
      <c r="A379" s="51"/>
      <c r="B379" s="52"/>
      <c r="C379" s="51"/>
      <c r="D379" s="51"/>
      <c r="E379" s="51"/>
      <c r="F379" s="51"/>
      <c r="G379" s="51"/>
    </row>
    <row r="380" spans="1:7" x14ac:dyDescent="0.25">
      <c r="A380" s="51"/>
      <c r="B380" s="52"/>
      <c r="C380" s="51"/>
      <c r="D380" s="51"/>
      <c r="E380" s="51"/>
      <c r="F380" s="51"/>
      <c r="G380" s="51"/>
    </row>
    <row r="381" spans="1:7" x14ac:dyDescent="0.25">
      <c r="A381" s="51"/>
      <c r="B381" s="52"/>
      <c r="C381" s="51"/>
      <c r="D381" s="51"/>
      <c r="E381" s="51"/>
      <c r="F381" s="51"/>
      <c r="G381" s="51"/>
    </row>
    <row r="382" spans="1:7" x14ac:dyDescent="0.25">
      <c r="A382" s="51"/>
      <c r="B382" s="52"/>
      <c r="C382" s="51"/>
      <c r="D382" s="51"/>
      <c r="E382" s="51"/>
      <c r="F382" s="51"/>
      <c r="G382" s="51"/>
    </row>
    <row r="383" spans="1:7" x14ac:dyDescent="0.25">
      <c r="A383" s="51"/>
      <c r="B383" s="52"/>
      <c r="C383" s="51"/>
      <c r="D383" s="51"/>
      <c r="E383" s="51"/>
      <c r="F383" s="51"/>
      <c r="G383" s="51"/>
    </row>
    <row r="384" spans="1:7" x14ac:dyDescent="0.25">
      <c r="A384" s="51"/>
      <c r="B384" s="52"/>
      <c r="C384" s="51"/>
      <c r="D384" s="51"/>
      <c r="E384" s="51"/>
      <c r="F384" s="51"/>
      <c r="G384" s="51"/>
    </row>
    <row r="385" spans="1:7" x14ac:dyDescent="0.25">
      <c r="A385" s="51"/>
      <c r="B385" s="52"/>
      <c r="C385" s="51"/>
      <c r="D385" s="51"/>
      <c r="E385" s="51"/>
      <c r="F385" s="51"/>
      <c r="G385" s="51"/>
    </row>
    <row r="386" spans="1:7" x14ac:dyDescent="0.25">
      <c r="A386" s="51"/>
      <c r="B386" s="52"/>
      <c r="C386" s="51"/>
      <c r="D386" s="51"/>
      <c r="E386" s="51"/>
      <c r="F386" s="51"/>
      <c r="G386" s="51"/>
    </row>
    <row r="387" spans="1:7" x14ac:dyDescent="0.25">
      <c r="A387" s="51"/>
      <c r="B387" s="52"/>
      <c r="C387" s="51"/>
      <c r="D387" s="51"/>
      <c r="E387" s="51"/>
      <c r="F387" s="51"/>
      <c r="G387" s="51"/>
    </row>
    <row r="388" spans="1:7" x14ac:dyDescent="0.25">
      <c r="A388" s="51"/>
      <c r="B388" s="52"/>
      <c r="C388" s="51"/>
      <c r="D388" s="51"/>
      <c r="E388" s="51"/>
      <c r="F388" s="51"/>
      <c r="G388" s="51"/>
    </row>
    <row r="389" spans="1:7" x14ac:dyDescent="0.25">
      <c r="A389" s="51"/>
      <c r="B389" s="52"/>
      <c r="C389" s="51"/>
      <c r="D389" s="51"/>
      <c r="E389" s="51"/>
      <c r="F389" s="51"/>
      <c r="G389" s="51"/>
    </row>
    <row r="390" spans="1:7" x14ac:dyDescent="0.25">
      <c r="A390" s="51"/>
      <c r="B390" s="52"/>
      <c r="C390" s="51"/>
      <c r="D390" s="51"/>
      <c r="E390" s="51"/>
      <c r="F390" s="51"/>
      <c r="G390" s="51"/>
    </row>
    <row r="391" spans="1:7" x14ac:dyDescent="0.25">
      <c r="A391" s="51"/>
      <c r="B391" s="52"/>
      <c r="C391" s="51"/>
      <c r="D391" s="51"/>
      <c r="E391" s="51"/>
      <c r="F391" s="51"/>
      <c r="G391" s="51"/>
    </row>
    <row r="392" spans="1:7" x14ac:dyDescent="0.25">
      <c r="A392" s="51"/>
      <c r="B392" s="52"/>
      <c r="C392" s="51"/>
      <c r="D392" s="51"/>
      <c r="E392" s="51"/>
      <c r="F392" s="51"/>
      <c r="G392" s="51"/>
    </row>
    <row r="393" spans="1:7" x14ac:dyDescent="0.25">
      <c r="A393" s="51"/>
      <c r="B393" s="52"/>
      <c r="C393" s="51"/>
      <c r="D393" s="51"/>
      <c r="E393" s="51"/>
      <c r="F393" s="51"/>
      <c r="G393" s="51"/>
    </row>
    <row r="394" spans="1:7" x14ac:dyDescent="0.25">
      <c r="A394" s="51"/>
      <c r="B394" s="52"/>
      <c r="C394" s="51"/>
      <c r="D394" s="51"/>
      <c r="E394" s="51"/>
      <c r="F394" s="51"/>
      <c r="G394" s="51"/>
    </row>
    <row r="395" spans="1:7" x14ac:dyDescent="0.25">
      <c r="A395" s="51"/>
      <c r="B395" s="52"/>
      <c r="C395" s="51"/>
      <c r="D395" s="51"/>
      <c r="E395" s="51"/>
      <c r="F395" s="51"/>
      <c r="G395" s="51"/>
    </row>
    <row r="396" spans="1:7" x14ac:dyDescent="0.25">
      <c r="A396" s="51"/>
      <c r="B396" s="52"/>
      <c r="C396" s="51"/>
      <c r="D396" s="51"/>
      <c r="E396" s="51"/>
      <c r="F396" s="51"/>
      <c r="G396" s="51"/>
    </row>
    <row r="397" spans="1:7" x14ac:dyDescent="0.25">
      <c r="A397" s="51"/>
      <c r="B397" s="52"/>
      <c r="C397" s="51"/>
      <c r="D397" s="51"/>
      <c r="E397" s="51"/>
      <c r="F397" s="51"/>
      <c r="G397" s="51"/>
    </row>
    <row r="398" spans="1:7" x14ac:dyDescent="0.25">
      <c r="A398" s="51"/>
      <c r="B398" s="52"/>
      <c r="C398" s="51"/>
      <c r="D398" s="51"/>
      <c r="E398" s="51"/>
      <c r="F398" s="51"/>
      <c r="G398" s="51"/>
    </row>
    <row r="399" spans="1:7" x14ac:dyDescent="0.25">
      <c r="A399" s="51"/>
      <c r="B399" s="52"/>
      <c r="C399" s="51"/>
      <c r="D399" s="51"/>
      <c r="E399" s="51"/>
      <c r="F399" s="51"/>
      <c r="G399" s="51"/>
    </row>
    <row r="400" spans="1:7" x14ac:dyDescent="0.25">
      <c r="A400" s="51"/>
      <c r="B400" s="52"/>
      <c r="C400" s="51"/>
      <c r="D400" s="51"/>
      <c r="E400" s="51"/>
      <c r="F400" s="51"/>
      <c r="G400" s="51"/>
    </row>
    <row r="401" spans="1:7" x14ac:dyDescent="0.25">
      <c r="A401" s="51"/>
      <c r="B401" s="52"/>
      <c r="C401" s="51"/>
      <c r="D401" s="51"/>
      <c r="E401" s="51"/>
      <c r="F401" s="51"/>
      <c r="G401" s="51"/>
    </row>
    <row r="402" spans="1:7" x14ac:dyDescent="0.25">
      <c r="A402" s="51"/>
      <c r="B402" s="52"/>
      <c r="C402" s="51"/>
      <c r="D402" s="51"/>
      <c r="E402" s="51"/>
      <c r="F402" s="51"/>
      <c r="G402" s="51"/>
    </row>
    <row r="403" spans="1:7" x14ac:dyDescent="0.25">
      <c r="A403" s="51"/>
      <c r="B403" s="52"/>
      <c r="C403" s="51"/>
      <c r="D403" s="51"/>
      <c r="E403" s="51"/>
      <c r="F403" s="51"/>
      <c r="G403" s="51"/>
    </row>
    <row r="404" spans="1:7" x14ac:dyDescent="0.25">
      <c r="A404" s="51"/>
      <c r="B404" s="52"/>
      <c r="C404" s="51"/>
      <c r="D404" s="51"/>
      <c r="E404" s="51"/>
      <c r="F404" s="51"/>
      <c r="G404" s="51"/>
    </row>
    <row r="405" spans="1:7" x14ac:dyDescent="0.25">
      <c r="A405" s="51"/>
      <c r="B405" s="52"/>
      <c r="C405" s="51"/>
      <c r="D405" s="51"/>
      <c r="E405" s="51"/>
      <c r="F405" s="51"/>
      <c r="G405" s="51"/>
    </row>
    <row r="406" spans="1:7" x14ac:dyDescent="0.25">
      <c r="A406" s="51"/>
      <c r="B406" s="52"/>
      <c r="C406" s="51"/>
      <c r="D406" s="51"/>
      <c r="E406" s="51"/>
      <c r="F406" s="51"/>
      <c r="G406" s="51"/>
    </row>
    <row r="407" spans="1:7" x14ac:dyDescent="0.25">
      <c r="A407" s="51"/>
      <c r="B407" s="52"/>
      <c r="C407" s="51"/>
      <c r="D407" s="51"/>
      <c r="E407" s="51"/>
      <c r="F407" s="51"/>
      <c r="G407" s="51"/>
    </row>
    <row r="408" spans="1:7" x14ac:dyDescent="0.25">
      <c r="A408" s="51"/>
      <c r="B408" s="52"/>
      <c r="C408" s="51"/>
      <c r="D408" s="51"/>
      <c r="E408" s="51"/>
      <c r="F408" s="51"/>
      <c r="G408" s="51"/>
    </row>
    <row r="409" spans="1:7" x14ac:dyDescent="0.25">
      <c r="A409" s="51"/>
      <c r="B409" s="52"/>
      <c r="C409" s="51"/>
      <c r="D409" s="51"/>
      <c r="E409" s="51"/>
      <c r="F409" s="51"/>
      <c r="G409" s="51"/>
    </row>
    <row r="410" spans="1:7" x14ac:dyDescent="0.25">
      <c r="A410" s="51"/>
      <c r="B410" s="52"/>
      <c r="C410" s="51"/>
      <c r="D410" s="51"/>
      <c r="E410" s="51"/>
      <c r="F410" s="51"/>
      <c r="G410" s="51"/>
    </row>
    <row r="411" spans="1:7" x14ac:dyDescent="0.25">
      <c r="A411" s="51"/>
      <c r="B411" s="52"/>
      <c r="C411" s="51"/>
      <c r="D411" s="51"/>
      <c r="E411" s="51"/>
      <c r="F411" s="51"/>
      <c r="G411" s="51"/>
    </row>
    <row r="412" spans="1:7" x14ac:dyDescent="0.25">
      <c r="A412" s="51"/>
      <c r="B412" s="52"/>
      <c r="C412" s="51"/>
      <c r="D412" s="51"/>
      <c r="E412" s="51"/>
      <c r="F412" s="51"/>
      <c r="G412" s="51"/>
    </row>
    <row r="413" spans="1:7" x14ac:dyDescent="0.25">
      <c r="A413" s="51"/>
      <c r="B413" s="52"/>
      <c r="C413" s="51"/>
      <c r="D413" s="51"/>
      <c r="E413" s="51"/>
      <c r="F413" s="51"/>
      <c r="G413" s="51"/>
    </row>
    <row r="414" spans="1:7" x14ac:dyDescent="0.25">
      <c r="A414" s="51"/>
      <c r="B414" s="52"/>
      <c r="C414" s="51"/>
      <c r="D414" s="51"/>
      <c r="E414" s="51"/>
      <c r="F414" s="51"/>
      <c r="G414" s="51"/>
    </row>
    <row r="415" spans="1:7" x14ac:dyDescent="0.25">
      <c r="A415" s="51"/>
      <c r="B415" s="52"/>
      <c r="C415" s="51"/>
      <c r="D415" s="51"/>
      <c r="E415" s="51"/>
      <c r="F415" s="51"/>
      <c r="G415" s="51"/>
    </row>
    <row r="416" spans="1:7" x14ac:dyDescent="0.25">
      <c r="A416" s="51"/>
      <c r="B416" s="52"/>
      <c r="C416" s="51"/>
      <c r="D416" s="51"/>
      <c r="E416" s="51"/>
      <c r="F416" s="51"/>
      <c r="G416" s="51"/>
    </row>
    <row r="417" spans="1:7" x14ac:dyDescent="0.25">
      <c r="A417" s="51"/>
      <c r="B417" s="52"/>
      <c r="C417" s="51"/>
      <c r="D417" s="51"/>
      <c r="E417" s="51"/>
      <c r="F417" s="51"/>
      <c r="G417" s="51"/>
    </row>
    <row r="418" spans="1:7" x14ac:dyDescent="0.25">
      <c r="A418" s="51"/>
      <c r="B418" s="52"/>
      <c r="C418" s="51"/>
      <c r="D418" s="51"/>
      <c r="E418" s="51"/>
      <c r="F418" s="51"/>
      <c r="G418" s="51"/>
    </row>
    <row r="419" spans="1:7" x14ac:dyDescent="0.25">
      <c r="A419" s="51"/>
      <c r="B419" s="52"/>
      <c r="C419" s="51"/>
      <c r="D419" s="51"/>
      <c r="E419" s="51"/>
      <c r="F419" s="51"/>
      <c r="G419" s="51"/>
    </row>
    <row r="420" spans="1:7" x14ac:dyDescent="0.25">
      <c r="A420" s="51"/>
      <c r="B420" s="52"/>
      <c r="C420" s="51"/>
      <c r="D420" s="51"/>
      <c r="E420" s="51"/>
      <c r="F420" s="51"/>
      <c r="G420" s="51"/>
    </row>
    <row r="421" spans="1:7" x14ac:dyDescent="0.25">
      <c r="A421" s="51"/>
      <c r="B421" s="52"/>
      <c r="C421" s="51"/>
      <c r="D421" s="51"/>
      <c r="E421" s="51"/>
      <c r="F421" s="51"/>
      <c r="G421" s="51"/>
    </row>
    <row r="422" spans="1:7" x14ac:dyDescent="0.25">
      <c r="A422" s="51"/>
      <c r="B422" s="52"/>
      <c r="C422" s="51"/>
      <c r="D422" s="51"/>
      <c r="E422" s="51"/>
      <c r="F422" s="51"/>
      <c r="G422" s="51"/>
    </row>
    <row r="423" spans="1:7" x14ac:dyDescent="0.25">
      <c r="A423" s="51"/>
      <c r="B423" s="52"/>
      <c r="C423" s="51"/>
      <c r="D423" s="51"/>
      <c r="E423" s="51"/>
      <c r="F423" s="51"/>
      <c r="G423" s="51"/>
    </row>
    <row r="424" spans="1:7" x14ac:dyDescent="0.25">
      <c r="A424" s="51"/>
      <c r="B424" s="52"/>
      <c r="C424" s="51"/>
      <c r="D424" s="51"/>
      <c r="E424" s="51"/>
      <c r="F424" s="51"/>
      <c r="G424" s="51"/>
    </row>
    <row r="425" spans="1:7" x14ac:dyDescent="0.25">
      <c r="A425" s="51"/>
      <c r="B425" s="52"/>
      <c r="C425" s="51"/>
      <c r="D425" s="51"/>
      <c r="E425" s="51"/>
      <c r="F425" s="51"/>
      <c r="G425" s="51"/>
    </row>
    <row r="426" spans="1:7" x14ac:dyDescent="0.25">
      <c r="A426" s="51"/>
      <c r="B426" s="52"/>
      <c r="C426" s="51"/>
      <c r="D426" s="51"/>
      <c r="E426" s="51"/>
      <c r="F426" s="51"/>
      <c r="G426" s="51"/>
    </row>
    <row r="427" spans="1:7" x14ac:dyDescent="0.25">
      <c r="A427" s="51"/>
      <c r="B427" s="52"/>
      <c r="C427" s="51"/>
      <c r="D427" s="51"/>
      <c r="E427" s="51"/>
      <c r="F427" s="51"/>
      <c r="G427" s="51"/>
    </row>
    <row r="428" spans="1:7" x14ac:dyDescent="0.25">
      <c r="A428" s="51"/>
      <c r="B428" s="52"/>
      <c r="C428" s="51"/>
      <c r="D428" s="51"/>
      <c r="E428" s="51"/>
      <c r="F428" s="51"/>
      <c r="G428" s="51"/>
    </row>
    <row r="429" spans="1:7" x14ac:dyDescent="0.25">
      <c r="A429" s="51"/>
      <c r="B429" s="52"/>
      <c r="C429" s="51"/>
      <c r="D429" s="51"/>
      <c r="E429" s="51"/>
      <c r="F429" s="51"/>
      <c r="G429" s="51"/>
    </row>
    <row r="430" spans="1:7" x14ac:dyDescent="0.25">
      <c r="A430" s="51"/>
      <c r="B430" s="52"/>
      <c r="C430" s="51"/>
      <c r="D430" s="51"/>
      <c r="E430" s="51"/>
      <c r="F430" s="51"/>
      <c r="G430" s="51"/>
    </row>
    <row r="431" spans="1:7" x14ac:dyDescent="0.25">
      <c r="A431" s="51"/>
      <c r="B431" s="52"/>
      <c r="C431" s="51"/>
      <c r="D431" s="51"/>
      <c r="E431" s="51"/>
      <c r="F431" s="51"/>
      <c r="G431" s="51"/>
    </row>
    <row r="432" spans="1:7" x14ac:dyDescent="0.25">
      <c r="A432" s="51"/>
      <c r="B432" s="52"/>
      <c r="C432" s="51"/>
      <c r="D432" s="51"/>
      <c r="E432" s="51"/>
      <c r="F432" s="51"/>
      <c r="G432" s="51"/>
    </row>
    <row r="433" spans="1:7" x14ac:dyDescent="0.25">
      <c r="A433" s="51"/>
      <c r="B433" s="52"/>
      <c r="C433" s="51"/>
      <c r="D433" s="51"/>
      <c r="E433" s="51"/>
      <c r="F433" s="51"/>
      <c r="G433" s="51"/>
    </row>
    <row r="434" spans="1:7" x14ac:dyDescent="0.25">
      <c r="A434" s="51"/>
      <c r="B434" s="52"/>
      <c r="C434" s="51"/>
      <c r="D434" s="51"/>
      <c r="E434" s="51"/>
      <c r="F434" s="51"/>
      <c r="G434" s="51"/>
    </row>
    <row r="435" spans="1:7" x14ac:dyDescent="0.25">
      <c r="A435" s="51"/>
      <c r="B435" s="52"/>
      <c r="C435" s="51"/>
      <c r="D435" s="51"/>
      <c r="E435" s="51"/>
      <c r="F435" s="51"/>
      <c r="G435" s="51"/>
    </row>
    <row r="436" spans="1:7" x14ac:dyDescent="0.25">
      <c r="A436" s="51"/>
      <c r="B436" s="52"/>
      <c r="C436" s="51"/>
      <c r="D436" s="51"/>
      <c r="E436" s="51"/>
      <c r="F436" s="51"/>
      <c r="G436" s="51"/>
    </row>
    <row r="437" spans="1:7" x14ac:dyDescent="0.25">
      <c r="A437" s="51"/>
      <c r="B437" s="52"/>
      <c r="C437" s="51"/>
      <c r="D437" s="51"/>
      <c r="E437" s="51"/>
      <c r="F437" s="51"/>
      <c r="G437" s="51"/>
    </row>
    <row r="438" spans="1:7" x14ac:dyDescent="0.25">
      <c r="A438" s="51"/>
      <c r="B438" s="52"/>
      <c r="C438" s="51"/>
      <c r="D438" s="51"/>
      <c r="E438" s="51"/>
      <c r="F438" s="51"/>
      <c r="G438" s="51"/>
    </row>
    <row r="439" spans="1:7" x14ac:dyDescent="0.25">
      <c r="A439" s="51"/>
      <c r="B439" s="52"/>
      <c r="C439" s="51"/>
      <c r="D439" s="51"/>
      <c r="E439" s="51"/>
      <c r="F439" s="51"/>
      <c r="G439" s="51"/>
    </row>
    <row r="440" spans="1:7" x14ac:dyDescent="0.25">
      <c r="A440" s="51"/>
      <c r="B440" s="52"/>
      <c r="C440" s="51"/>
      <c r="D440" s="51"/>
      <c r="E440" s="51"/>
      <c r="F440" s="51"/>
      <c r="G440" s="51"/>
    </row>
    <row r="441" spans="1:7" x14ac:dyDescent="0.25">
      <c r="A441" s="51"/>
      <c r="B441" s="52"/>
      <c r="C441" s="51"/>
      <c r="D441" s="51"/>
      <c r="E441" s="51"/>
      <c r="F441" s="51"/>
      <c r="G441" s="51"/>
    </row>
    <row r="442" spans="1:7" x14ac:dyDescent="0.25">
      <c r="A442" s="51"/>
      <c r="B442" s="52"/>
      <c r="C442" s="51"/>
      <c r="D442" s="51"/>
      <c r="E442" s="51"/>
      <c r="F442" s="51"/>
      <c r="G442" s="51"/>
    </row>
    <row r="443" spans="1:7" x14ac:dyDescent="0.25">
      <c r="A443" s="51"/>
      <c r="B443" s="52"/>
      <c r="C443" s="51"/>
      <c r="D443" s="51"/>
      <c r="E443" s="51"/>
      <c r="F443" s="51"/>
      <c r="G443" s="51"/>
    </row>
    <row r="444" spans="1:7" x14ac:dyDescent="0.25">
      <c r="A444" s="51"/>
      <c r="B444" s="52"/>
      <c r="C444" s="51"/>
      <c r="D444" s="51"/>
      <c r="E444" s="51"/>
      <c r="F444" s="51"/>
      <c r="G444" s="51"/>
    </row>
    <row r="445" spans="1:7" x14ac:dyDescent="0.25">
      <c r="A445" s="51"/>
      <c r="B445" s="52"/>
      <c r="C445" s="51"/>
      <c r="D445" s="51"/>
      <c r="E445" s="51"/>
      <c r="F445" s="51"/>
      <c r="G445" s="51"/>
    </row>
    <row r="446" spans="1:7" x14ac:dyDescent="0.25">
      <c r="A446" s="51"/>
      <c r="B446" s="52"/>
      <c r="C446" s="51"/>
      <c r="D446" s="51"/>
      <c r="E446" s="51"/>
      <c r="F446" s="51"/>
      <c r="G446" s="51"/>
    </row>
    <row r="447" spans="1:7" x14ac:dyDescent="0.25">
      <c r="A447" s="51"/>
      <c r="B447" s="52"/>
      <c r="C447" s="51"/>
      <c r="D447" s="51"/>
      <c r="E447" s="51"/>
      <c r="F447" s="51"/>
      <c r="G447" s="51"/>
    </row>
    <row r="448" spans="1:7" x14ac:dyDescent="0.25">
      <c r="A448" s="51"/>
      <c r="B448" s="52"/>
      <c r="C448" s="51"/>
      <c r="D448" s="51"/>
      <c r="E448" s="51"/>
      <c r="F448" s="51"/>
      <c r="G448" s="51"/>
    </row>
    <row r="449" spans="1:7" x14ac:dyDescent="0.25">
      <c r="A449" s="51"/>
      <c r="B449" s="52"/>
      <c r="C449" s="51"/>
      <c r="D449" s="51"/>
      <c r="E449" s="51"/>
      <c r="F449" s="51"/>
      <c r="G449" s="51"/>
    </row>
    <row r="450" spans="1:7" x14ac:dyDescent="0.25">
      <c r="A450" s="51"/>
      <c r="B450" s="52"/>
      <c r="C450" s="51"/>
      <c r="D450" s="51"/>
      <c r="E450" s="51"/>
      <c r="F450" s="51"/>
      <c r="G450" s="51"/>
    </row>
    <row r="451" spans="1:7" x14ac:dyDescent="0.25">
      <c r="A451" s="51"/>
      <c r="B451" s="52"/>
      <c r="C451" s="51"/>
      <c r="D451" s="51"/>
      <c r="E451" s="51"/>
      <c r="F451" s="51"/>
      <c r="G451" s="51"/>
    </row>
    <row r="452" spans="1:7" x14ac:dyDescent="0.25">
      <c r="A452" s="51"/>
      <c r="B452" s="52"/>
      <c r="C452" s="51"/>
      <c r="D452" s="51"/>
      <c r="E452" s="51"/>
      <c r="F452" s="51"/>
      <c r="G452" s="51"/>
    </row>
    <row r="453" spans="1:7" x14ac:dyDescent="0.25">
      <c r="A453" s="51"/>
      <c r="B453" s="52"/>
      <c r="C453" s="51"/>
      <c r="D453" s="51"/>
      <c r="E453" s="51"/>
      <c r="F453" s="51"/>
      <c r="G453" s="51"/>
    </row>
    <row r="454" spans="1:7" x14ac:dyDescent="0.25">
      <c r="A454" s="51"/>
      <c r="B454" s="52"/>
      <c r="C454" s="51"/>
      <c r="D454" s="51"/>
      <c r="E454" s="51"/>
      <c r="F454" s="51"/>
      <c r="G454" s="51"/>
    </row>
    <row r="455" spans="1:7" x14ac:dyDescent="0.25">
      <c r="A455" s="51"/>
      <c r="B455" s="52"/>
      <c r="C455" s="51"/>
      <c r="D455" s="51"/>
      <c r="E455" s="51"/>
      <c r="F455" s="51"/>
      <c r="G455" s="51"/>
    </row>
    <row r="456" spans="1:7" x14ac:dyDescent="0.25">
      <c r="A456" s="51"/>
      <c r="B456" s="52"/>
      <c r="C456" s="51"/>
      <c r="D456" s="51"/>
      <c r="E456" s="51"/>
      <c r="F456" s="51"/>
      <c r="G456" s="51"/>
    </row>
    <row r="457" spans="1:7" x14ac:dyDescent="0.25">
      <c r="A457" s="51"/>
      <c r="B457" s="52"/>
      <c r="C457" s="51"/>
      <c r="D457" s="51"/>
      <c r="E457" s="51"/>
      <c r="F457" s="51"/>
      <c r="G457" s="51"/>
    </row>
    <row r="458" spans="1:7" x14ac:dyDescent="0.25">
      <c r="A458" s="51"/>
      <c r="B458" s="52"/>
      <c r="C458" s="51"/>
      <c r="D458" s="51"/>
      <c r="E458" s="51"/>
      <c r="F458" s="51"/>
      <c r="G458" s="51"/>
    </row>
    <row r="459" spans="1:7" x14ac:dyDescent="0.25">
      <c r="A459" s="51"/>
      <c r="B459" s="52"/>
      <c r="C459" s="51"/>
      <c r="D459" s="51"/>
      <c r="E459" s="51"/>
      <c r="F459" s="51"/>
      <c r="G459" s="51"/>
    </row>
    <row r="460" spans="1:7" x14ac:dyDescent="0.25">
      <c r="A460" s="51"/>
      <c r="B460" s="52"/>
      <c r="C460" s="51"/>
      <c r="D460" s="51"/>
      <c r="E460" s="51"/>
      <c r="F460" s="51"/>
      <c r="G460" s="51"/>
    </row>
    <row r="461" spans="1:7" x14ac:dyDescent="0.25">
      <c r="A461" s="51"/>
      <c r="B461" s="52"/>
      <c r="C461" s="51"/>
      <c r="D461" s="51"/>
      <c r="E461" s="51"/>
      <c r="F461" s="51"/>
      <c r="G461" s="51"/>
    </row>
    <row r="462" spans="1:7" x14ac:dyDescent="0.25">
      <c r="A462" s="51"/>
      <c r="B462" s="52"/>
      <c r="C462" s="51"/>
      <c r="D462" s="51"/>
      <c r="E462" s="51"/>
      <c r="F462" s="51"/>
      <c r="G462" s="51"/>
    </row>
    <row r="463" spans="1:7" x14ac:dyDescent="0.25">
      <c r="A463" s="51"/>
      <c r="B463" s="52"/>
      <c r="C463" s="51"/>
      <c r="D463" s="51"/>
      <c r="E463" s="51"/>
      <c r="F463" s="51"/>
      <c r="G463" s="51"/>
    </row>
    <row r="464" spans="1:7" x14ac:dyDescent="0.25">
      <c r="A464" s="51"/>
      <c r="B464" s="52"/>
      <c r="C464" s="51"/>
      <c r="D464" s="51"/>
      <c r="E464" s="51"/>
      <c r="F464" s="51"/>
      <c r="G464" s="51"/>
    </row>
    <row r="465" spans="1:7" x14ac:dyDescent="0.25">
      <c r="A465" s="51"/>
      <c r="B465" s="52"/>
      <c r="C465" s="51"/>
      <c r="D465" s="51"/>
      <c r="E465" s="51"/>
      <c r="F465" s="51"/>
      <c r="G465" s="51"/>
    </row>
    <row r="466" spans="1:7" x14ac:dyDescent="0.25">
      <c r="A466" s="51"/>
      <c r="B466" s="52"/>
      <c r="C466" s="51"/>
      <c r="D466" s="51"/>
      <c r="E466" s="51"/>
      <c r="F466" s="51"/>
      <c r="G466" s="51"/>
    </row>
    <row r="467" spans="1:7" x14ac:dyDescent="0.25">
      <c r="A467" s="51"/>
      <c r="B467" s="52"/>
      <c r="C467" s="51"/>
      <c r="D467" s="51"/>
      <c r="E467" s="51"/>
      <c r="F467" s="51"/>
      <c r="G467" s="51"/>
    </row>
    <row r="468" spans="1:7" x14ac:dyDescent="0.25">
      <c r="A468" s="51"/>
      <c r="B468" s="52"/>
      <c r="C468" s="51"/>
      <c r="D468" s="51"/>
      <c r="E468" s="51"/>
      <c r="F468" s="51"/>
      <c r="G468" s="51"/>
    </row>
    <row r="469" spans="1:7" x14ac:dyDescent="0.25">
      <c r="A469" s="51"/>
      <c r="B469" s="52"/>
      <c r="C469" s="51"/>
      <c r="D469" s="51"/>
      <c r="E469" s="51"/>
      <c r="F469" s="51"/>
      <c r="G469" s="51"/>
    </row>
    <row r="470" spans="1:7" x14ac:dyDescent="0.25">
      <c r="A470" s="51"/>
      <c r="B470" s="52"/>
      <c r="C470" s="51"/>
      <c r="D470" s="51"/>
      <c r="E470" s="51"/>
      <c r="F470" s="51"/>
      <c r="G470" s="51"/>
    </row>
    <row r="471" spans="1:7" x14ac:dyDescent="0.25">
      <c r="A471" s="51"/>
      <c r="B471" s="52"/>
      <c r="C471" s="51"/>
      <c r="D471" s="51"/>
      <c r="E471" s="51"/>
      <c r="F471" s="51"/>
      <c r="G471" s="51"/>
    </row>
    <row r="472" spans="1:7" x14ac:dyDescent="0.25">
      <c r="A472" s="51"/>
      <c r="B472" s="52"/>
      <c r="C472" s="51"/>
      <c r="D472" s="51"/>
      <c r="E472" s="51"/>
      <c r="F472" s="51"/>
      <c r="G472" s="51"/>
    </row>
    <row r="473" spans="1:7" x14ac:dyDescent="0.25">
      <c r="A473" s="51"/>
      <c r="B473" s="52"/>
      <c r="C473" s="51"/>
      <c r="D473" s="51"/>
      <c r="E473" s="51"/>
      <c r="F473" s="51"/>
      <c r="G473" s="51"/>
    </row>
    <row r="474" spans="1:7" x14ac:dyDescent="0.25">
      <c r="A474" s="51"/>
      <c r="B474" s="52"/>
      <c r="C474" s="51"/>
      <c r="D474" s="51"/>
      <c r="E474" s="51"/>
      <c r="F474" s="51"/>
      <c r="G474" s="51"/>
    </row>
    <row r="475" spans="1:7" x14ac:dyDescent="0.25">
      <c r="A475" s="51"/>
      <c r="B475" s="52"/>
      <c r="C475" s="51"/>
      <c r="D475" s="51"/>
      <c r="E475" s="51"/>
      <c r="F475" s="51"/>
      <c r="G475" s="51"/>
    </row>
    <row r="476" spans="1:7" x14ac:dyDescent="0.25">
      <c r="A476" s="51"/>
      <c r="B476" s="52"/>
      <c r="C476" s="51"/>
      <c r="D476" s="51"/>
      <c r="E476" s="51"/>
      <c r="F476" s="51"/>
      <c r="G476" s="51"/>
    </row>
    <row r="477" spans="1:7" x14ac:dyDescent="0.25">
      <c r="A477" s="51"/>
      <c r="B477" s="52"/>
      <c r="C477" s="51"/>
      <c r="D477" s="51"/>
      <c r="E477" s="51"/>
      <c r="F477" s="51"/>
      <c r="G477" s="51"/>
    </row>
    <row r="478" spans="1:7" x14ac:dyDescent="0.25">
      <c r="A478" s="51"/>
      <c r="B478" s="52"/>
      <c r="C478" s="51"/>
      <c r="D478" s="51"/>
      <c r="E478" s="51"/>
      <c r="F478" s="51"/>
      <c r="G478" s="51"/>
    </row>
    <row r="479" spans="1:7" x14ac:dyDescent="0.25">
      <c r="A479" s="51"/>
      <c r="B479" s="52"/>
      <c r="C479" s="51"/>
      <c r="D479" s="51"/>
      <c r="E479" s="51"/>
      <c r="F479" s="51"/>
      <c r="G479" s="51"/>
    </row>
    <row r="480" spans="1:7" x14ac:dyDescent="0.25">
      <c r="A480" s="51"/>
      <c r="B480" s="52"/>
      <c r="C480" s="51"/>
      <c r="D480" s="51"/>
      <c r="E480" s="51"/>
      <c r="F480" s="51"/>
      <c r="G480" s="51"/>
    </row>
    <row r="481" spans="1:7" x14ac:dyDescent="0.25">
      <c r="A481" s="51"/>
      <c r="B481" s="52"/>
      <c r="C481" s="51"/>
      <c r="D481" s="51"/>
      <c r="E481" s="51"/>
      <c r="F481" s="51"/>
      <c r="G481" s="51"/>
    </row>
    <row r="482" spans="1:7" x14ac:dyDescent="0.25">
      <c r="A482" s="51"/>
      <c r="B482" s="52"/>
      <c r="C482" s="51"/>
      <c r="D482" s="51"/>
      <c r="E482" s="51"/>
      <c r="F482" s="51"/>
      <c r="G482" s="51"/>
    </row>
    <row r="483" spans="1:7" x14ac:dyDescent="0.25">
      <c r="A483" s="51"/>
      <c r="B483" s="52"/>
      <c r="C483" s="51"/>
      <c r="D483" s="51"/>
      <c r="E483" s="51"/>
      <c r="F483" s="51"/>
      <c r="G483" s="51"/>
    </row>
    <row r="484" spans="1:7" x14ac:dyDescent="0.25">
      <c r="A484" s="51"/>
      <c r="B484" s="52"/>
      <c r="C484" s="51"/>
      <c r="D484" s="51"/>
      <c r="E484" s="51"/>
      <c r="F484" s="51"/>
      <c r="G484" s="51"/>
    </row>
    <row r="485" spans="1:7" x14ac:dyDescent="0.25">
      <c r="A485" s="51"/>
      <c r="B485" s="52"/>
      <c r="C485" s="51"/>
      <c r="D485" s="51"/>
      <c r="E485" s="51"/>
      <c r="F485" s="51"/>
      <c r="G485" s="51"/>
    </row>
    <row r="486" spans="1:7" x14ac:dyDescent="0.25">
      <c r="A486" s="51"/>
      <c r="B486" s="52"/>
      <c r="C486" s="51"/>
      <c r="D486" s="51"/>
      <c r="E486" s="51"/>
      <c r="F486" s="51"/>
      <c r="G486" s="51"/>
    </row>
    <row r="487" spans="1:7" x14ac:dyDescent="0.25">
      <c r="A487" s="51"/>
      <c r="B487" s="52"/>
      <c r="C487" s="51"/>
      <c r="D487" s="51"/>
      <c r="E487" s="51"/>
      <c r="F487" s="51"/>
      <c r="G487" s="51"/>
    </row>
    <row r="488" spans="1:7" x14ac:dyDescent="0.25">
      <c r="A488" s="51"/>
      <c r="B488" s="52"/>
      <c r="C488" s="51"/>
      <c r="D488" s="51"/>
      <c r="E488" s="51"/>
      <c r="F488" s="51"/>
      <c r="G488" s="51"/>
    </row>
    <row r="489" spans="1:7" x14ac:dyDescent="0.25">
      <c r="A489" s="51"/>
      <c r="B489" s="52"/>
      <c r="C489" s="51"/>
      <c r="D489" s="51"/>
      <c r="E489" s="51"/>
      <c r="F489" s="51"/>
      <c r="G489" s="51"/>
    </row>
    <row r="490" spans="1:7" x14ac:dyDescent="0.25">
      <c r="A490" s="51"/>
      <c r="B490" s="52"/>
      <c r="C490" s="51"/>
      <c r="D490" s="51"/>
      <c r="E490" s="51"/>
      <c r="F490" s="51"/>
      <c r="G490" s="51"/>
    </row>
    <row r="491" spans="1:7" x14ac:dyDescent="0.25">
      <c r="A491" s="51"/>
      <c r="B491" s="52"/>
      <c r="C491" s="51"/>
      <c r="D491" s="51"/>
      <c r="E491" s="51"/>
      <c r="F491" s="51"/>
      <c r="G491" s="51"/>
    </row>
    <row r="492" spans="1:7" x14ac:dyDescent="0.25">
      <c r="A492" s="51"/>
      <c r="B492" s="52"/>
      <c r="C492" s="51"/>
      <c r="D492" s="51"/>
      <c r="E492" s="51"/>
      <c r="F492" s="51"/>
      <c r="G492" s="51"/>
    </row>
    <row r="493" spans="1:7" x14ac:dyDescent="0.25">
      <c r="A493" s="51"/>
      <c r="B493" s="52"/>
      <c r="C493" s="51"/>
      <c r="D493" s="51"/>
      <c r="E493" s="51"/>
      <c r="F493" s="51"/>
      <c r="G493" s="51"/>
    </row>
    <row r="494" spans="1:7" x14ac:dyDescent="0.25">
      <c r="A494" s="51"/>
      <c r="B494" s="52"/>
      <c r="C494" s="51"/>
      <c r="D494" s="51"/>
      <c r="E494" s="51"/>
      <c r="F494" s="51"/>
      <c r="G494" s="51"/>
    </row>
    <row r="495" spans="1:7" x14ac:dyDescent="0.25">
      <c r="A495" s="51"/>
      <c r="B495" s="52"/>
      <c r="C495" s="51"/>
      <c r="D495" s="51"/>
      <c r="E495" s="51"/>
      <c r="F495" s="51"/>
      <c r="G495" s="51"/>
    </row>
    <row r="496" spans="1:7" x14ac:dyDescent="0.25">
      <c r="A496" s="51"/>
      <c r="B496" s="52"/>
      <c r="C496" s="51"/>
      <c r="D496" s="51"/>
      <c r="E496" s="51"/>
      <c r="F496" s="51"/>
      <c r="G496" s="51"/>
    </row>
    <row r="497" spans="1:7" x14ac:dyDescent="0.25">
      <c r="A497" s="51"/>
      <c r="B497" s="52"/>
      <c r="C497" s="51"/>
      <c r="D497" s="51"/>
      <c r="E497" s="51"/>
      <c r="F497" s="51"/>
      <c r="G497" s="51"/>
    </row>
    <row r="498" spans="1:7" x14ac:dyDescent="0.25">
      <c r="A498" s="51"/>
      <c r="B498" s="52"/>
      <c r="C498" s="51"/>
      <c r="D498" s="51"/>
      <c r="E498" s="51"/>
      <c r="F498" s="51"/>
      <c r="G498" s="51"/>
    </row>
    <row r="499" spans="1:7" x14ac:dyDescent="0.25">
      <c r="A499" s="51"/>
      <c r="B499" s="52"/>
      <c r="C499" s="51"/>
      <c r="D499" s="51"/>
      <c r="E499" s="51"/>
      <c r="F499" s="51"/>
      <c r="G499" s="51"/>
    </row>
    <row r="500" spans="1:7" x14ac:dyDescent="0.25">
      <c r="A500" s="51"/>
      <c r="B500" s="52"/>
      <c r="C500" s="51"/>
      <c r="D500" s="51"/>
      <c r="E500" s="51"/>
      <c r="F500" s="51"/>
      <c r="G500" s="51"/>
    </row>
    <row r="501" spans="1:7" x14ac:dyDescent="0.25">
      <c r="A501" s="51"/>
      <c r="B501" s="52"/>
      <c r="C501" s="51"/>
      <c r="D501" s="51"/>
      <c r="E501" s="51"/>
      <c r="F501" s="51"/>
      <c r="G501" s="51"/>
    </row>
    <row r="502" spans="1:7" x14ac:dyDescent="0.25">
      <c r="A502" s="51"/>
      <c r="B502" s="52"/>
      <c r="C502" s="51"/>
      <c r="D502" s="51"/>
      <c r="E502" s="51"/>
      <c r="F502" s="51"/>
      <c r="G502" s="51"/>
    </row>
    <row r="503" spans="1:7" x14ac:dyDescent="0.25">
      <c r="A503" s="51"/>
      <c r="B503" s="52"/>
      <c r="C503" s="51"/>
      <c r="D503" s="51"/>
      <c r="E503" s="51"/>
      <c r="F503" s="51"/>
      <c r="G503" s="51"/>
    </row>
    <row r="504" spans="1:7" x14ac:dyDescent="0.25">
      <c r="A504" s="51"/>
      <c r="B504" s="52"/>
      <c r="C504" s="51"/>
      <c r="D504" s="51"/>
      <c r="E504" s="51"/>
      <c r="F504" s="51"/>
      <c r="G504" s="51"/>
    </row>
    <row r="505" spans="1:7" x14ac:dyDescent="0.25">
      <c r="A505" s="51"/>
      <c r="B505" s="52"/>
      <c r="C505" s="51"/>
      <c r="D505" s="51"/>
      <c r="E505" s="51"/>
      <c r="F505" s="51"/>
      <c r="G505" s="51"/>
    </row>
    <row r="506" spans="1:7" x14ac:dyDescent="0.25">
      <c r="A506" s="51"/>
      <c r="B506" s="52"/>
      <c r="C506" s="51"/>
      <c r="D506" s="51"/>
      <c r="E506" s="51"/>
      <c r="F506" s="51"/>
      <c r="G506" s="51"/>
    </row>
  </sheetData>
  <mergeCells count="28">
    <mergeCell ref="N3:O3"/>
    <mergeCell ref="P3:Q3"/>
    <mergeCell ref="R3:S3"/>
    <mergeCell ref="A46:M46"/>
    <mergeCell ref="A47:M47"/>
    <mergeCell ref="A6:A8"/>
    <mergeCell ref="D7:M7"/>
    <mergeCell ref="D8:M8"/>
    <mergeCell ref="A9:A13"/>
    <mergeCell ref="D11:M11"/>
    <mergeCell ref="D12:M12"/>
    <mergeCell ref="A48:M48"/>
    <mergeCell ref="A49:M49"/>
    <mergeCell ref="A30:A34"/>
    <mergeCell ref="A39:A43"/>
    <mergeCell ref="D14:M14"/>
    <mergeCell ref="A18:A21"/>
    <mergeCell ref="A23:A24"/>
    <mergeCell ref="D25:M25"/>
    <mergeCell ref="A26:A28"/>
    <mergeCell ref="A1:M1"/>
    <mergeCell ref="A3:B4"/>
    <mergeCell ref="C3:C4"/>
    <mergeCell ref="D3:E3"/>
    <mergeCell ref="F3:G3"/>
    <mergeCell ref="H3:I3"/>
    <mergeCell ref="J3:K3"/>
    <mergeCell ref="L3:M3"/>
  </mergeCells>
  <pageMargins left="0.7" right="0.7" top="0.75" bottom="0.75" header="0.3" footer="0.3"/>
  <pageSetup paperSize="9" scale="3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0"/>
  <sheetViews>
    <sheetView topLeftCell="A7" workbookViewId="0">
      <selection activeCell="F33" sqref="F33"/>
    </sheetView>
  </sheetViews>
  <sheetFormatPr defaultRowHeight="15" x14ac:dyDescent="0.25"/>
  <cols>
    <col min="1" max="1" width="9.140625" style="70"/>
    <col min="3" max="3" width="9.5703125" bestFit="1" customWidth="1"/>
    <col min="8" max="10" width="10.7109375" customWidth="1"/>
  </cols>
  <sheetData>
    <row r="1" spans="1:11" x14ac:dyDescent="0.25">
      <c r="A1" s="68" t="s">
        <v>297</v>
      </c>
      <c r="B1" s="203"/>
      <c r="C1" s="69"/>
      <c r="D1" s="69"/>
      <c r="E1" s="69"/>
      <c r="F1" s="69"/>
      <c r="G1" s="69"/>
      <c r="H1" s="68" t="s">
        <v>298</v>
      </c>
      <c r="I1" s="69"/>
      <c r="J1" s="69"/>
      <c r="K1" s="69"/>
    </row>
    <row r="2" spans="1:11" x14ac:dyDescent="0.25">
      <c r="B2" s="69"/>
      <c r="C2" s="69"/>
      <c r="D2" s="69"/>
      <c r="E2" s="69"/>
      <c r="F2" s="69"/>
      <c r="G2" s="69"/>
      <c r="H2" s="69"/>
      <c r="I2" s="69"/>
      <c r="J2" s="69"/>
      <c r="K2" s="69"/>
    </row>
    <row r="3" spans="1:11" x14ac:dyDescent="0.25">
      <c r="A3" s="71" t="s">
        <v>299</v>
      </c>
      <c r="B3" s="283">
        <v>2024</v>
      </c>
      <c r="C3" s="283"/>
      <c r="D3" s="69"/>
      <c r="E3" s="69"/>
      <c r="F3" s="69"/>
      <c r="G3" s="72" t="s">
        <v>300</v>
      </c>
      <c r="H3" s="283">
        <v>2024</v>
      </c>
      <c r="I3" s="283"/>
      <c r="J3" s="70"/>
      <c r="K3" s="69"/>
    </row>
    <row r="4" spans="1:11" x14ac:dyDescent="0.25">
      <c r="A4" s="71"/>
      <c r="B4" s="73" t="s">
        <v>301</v>
      </c>
      <c r="C4" s="73" t="s">
        <v>302</v>
      </c>
      <c r="D4" s="69"/>
      <c r="E4" s="69"/>
      <c r="F4" s="69"/>
      <c r="G4" s="71"/>
      <c r="H4" s="73" t="s">
        <v>301</v>
      </c>
      <c r="I4" s="73" t="s">
        <v>302</v>
      </c>
      <c r="J4" s="70"/>
      <c r="K4" s="69"/>
    </row>
    <row r="5" spans="1:11" x14ac:dyDescent="0.25">
      <c r="A5" s="70" t="s">
        <v>303</v>
      </c>
      <c r="B5" s="74">
        <f>B11+B17+B23</f>
        <v>100.07780000000001</v>
      </c>
      <c r="C5" s="74">
        <f>C11+C17+C23</f>
        <v>101.53089999999999</v>
      </c>
      <c r="D5" s="69"/>
      <c r="E5" s="69"/>
      <c r="F5" s="69"/>
      <c r="G5" s="70" t="s">
        <v>303</v>
      </c>
      <c r="H5" s="75">
        <v>119565.4</v>
      </c>
      <c r="I5" s="75">
        <f>195260.2-H5</f>
        <v>75694.800000000017</v>
      </c>
      <c r="J5" s="75">
        <f>H5+I5</f>
        <v>195260.2</v>
      </c>
      <c r="K5" s="69"/>
    </row>
    <row r="6" spans="1:11" x14ac:dyDescent="0.25">
      <c r="A6" s="70" t="s">
        <v>304</v>
      </c>
      <c r="B6" s="76">
        <f>B12+B18+B24</f>
        <v>5051.0483199999999</v>
      </c>
      <c r="C6" s="76">
        <f>C12+C18+C24</f>
        <v>6518.604080000001</v>
      </c>
      <c r="D6" s="69"/>
      <c r="E6" s="69"/>
      <c r="F6" s="69"/>
      <c r="G6" s="70" t="s">
        <v>304</v>
      </c>
      <c r="H6" s="76">
        <v>494679.12507000001</v>
      </c>
      <c r="I6" s="76">
        <f>908714.54211-H6</f>
        <v>414035.41704000003</v>
      </c>
      <c r="J6" s="75">
        <f>H6+I6</f>
        <v>908714.54211000004</v>
      </c>
      <c r="K6" s="69"/>
    </row>
    <row r="7" spans="1:11" x14ac:dyDescent="0.25">
      <c r="B7" s="77">
        <f>B6/B5</f>
        <v>50.471216593490261</v>
      </c>
      <c r="C7" s="77">
        <f>C6/C5</f>
        <v>64.203154704626883</v>
      </c>
      <c r="D7" s="69"/>
      <c r="E7" s="69"/>
      <c r="F7" s="69"/>
      <c r="G7" s="70"/>
      <c r="H7" s="78">
        <f>H6/H5*1000</f>
        <v>4137.3099999665465</v>
      </c>
      <c r="I7" s="78">
        <f>I6/I5*1000</f>
        <v>5469.7999999999993</v>
      </c>
      <c r="J7" s="78">
        <f>J6/J5*1000</f>
        <v>4653.864648863414</v>
      </c>
      <c r="K7" s="69"/>
    </row>
    <row r="8" spans="1:11" x14ac:dyDescent="0.25">
      <c r="B8" s="79"/>
      <c r="C8" s="79"/>
      <c r="D8" s="69"/>
      <c r="E8" s="69"/>
      <c r="F8" s="69"/>
      <c r="G8" s="69"/>
      <c r="H8" s="69"/>
      <c r="I8" s="69"/>
      <c r="J8" s="69"/>
      <c r="K8" s="69"/>
    </row>
    <row r="9" spans="1:11" x14ac:dyDescent="0.25">
      <c r="A9" s="72" t="s">
        <v>300</v>
      </c>
      <c r="B9" s="283">
        <v>2024</v>
      </c>
      <c r="C9" s="283"/>
      <c r="D9" s="69"/>
      <c r="E9" s="69"/>
      <c r="F9" s="69"/>
      <c r="G9" s="72" t="s">
        <v>305</v>
      </c>
      <c r="H9" s="283">
        <v>2024</v>
      </c>
      <c r="I9" s="283"/>
      <c r="J9" s="70"/>
      <c r="K9" s="69"/>
    </row>
    <row r="10" spans="1:11" x14ac:dyDescent="0.25">
      <c r="A10" s="71"/>
      <c r="B10" s="80" t="s">
        <v>301</v>
      </c>
      <c r="C10" s="80" t="s">
        <v>302</v>
      </c>
      <c r="D10" s="69"/>
      <c r="E10" s="69"/>
      <c r="F10" s="69"/>
      <c r="G10" s="71"/>
      <c r="H10" s="73" t="s">
        <v>301</v>
      </c>
      <c r="I10" s="73" t="s">
        <v>302</v>
      </c>
      <c r="J10" s="70"/>
      <c r="K10" s="69"/>
    </row>
    <row r="11" spans="1:11" x14ac:dyDescent="0.25">
      <c r="A11" s="70" t="s">
        <v>303</v>
      </c>
      <c r="B11" s="74">
        <v>4.0587999999999997</v>
      </c>
      <c r="C11" s="74">
        <f>10.3907-B11</f>
        <v>6.331900000000001</v>
      </c>
      <c r="D11" s="69"/>
      <c r="E11" s="69"/>
      <c r="F11" s="69"/>
      <c r="G11" s="70" t="s">
        <v>303</v>
      </c>
      <c r="H11" s="75">
        <v>48116</v>
      </c>
      <c r="I11" s="75">
        <f>84466-H11</f>
        <v>36350</v>
      </c>
      <c r="J11" s="75">
        <f>H11+I11</f>
        <v>84466</v>
      </c>
      <c r="K11" s="69"/>
    </row>
    <row r="12" spans="1:11" x14ac:dyDescent="0.25">
      <c r="A12" s="70" t="s">
        <v>304</v>
      </c>
      <c r="B12" s="76">
        <v>932.79340999999999</v>
      </c>
      <c r="C12" s="76">
        <f>3005.60419-B12</f>
        <v>2072.8107799999998</v>
      </c>
      <c r="D12" s="69"/>
      <c r="E12" s="69"/>
      <c r="F12" s="69"/>
      <c r="G12" s="70" t="s">
        <v>304</v>
      </c>
      <c r="H12" s="81">
        <v>347679.47976000002</v>
      </c>
      <c r="I12" s="76">
        <f>684532.74876-H12</f>
        <v>336853.26899999997</v>
      </c>
      <c r="J12" s="75">
        <f>H12+I12</f>
        <v>684532.74875999999</v>
      </c>
      <c r="K12" s="69"/>
    </row>
    <row r="13" spans="1:11" x14ac:dyDescent="0.25">
      <c r="B13" s="82">
        <f>B12/B11</f>
        <v>229.81999852173058</v>
      </c>
      <c r="C13" s="82">
        <f>C12/C11</f>
        <v>327.35999936827801</v>
      </c>
      <c r="D13" s="69"/>
      <c r="E13" s="69"/>
      <c r="F13" s="69"/>
      <c r="G13" s="70"/>
      <c r="H13" s="78">
        <f>H12/H11*1000</f>
        <v>7225.86</v>
      </c>
      <c r="I13" s="78">
        <f>I12/I11*1000</f>
        <v>9266.94</v>
      </c>
      <c r="J13" s="78">
        <f>J12/J11*1000</f>
        <v>8104.2401529609551</v>
      </c>
      <c r="K13" s="69"/>
    </row>
    <row r="14" spans="1:11" x14ac:dyDescent="0.25">
      <c r="B14" s="79"/>
      <c r="C14" s="79"/>
      <c r="D14" s="69"/>
      <c r="E14" s="69"/>
      <c r="F14" s="69"/>
      <c r="G14" s="69"/>
      <c r="H14" s="69"/>
      <c r="I14" s="69"/>
      <c r="J14" s="69"/>
      <c r="K14" s="69"/>
    </row>
    <row r="15" spans="1:11" x14ac:dyDescent="0.25">
      <c r="A15" s="201"/>
      <c r="B15" s="283"/>
      <c r="C15" s="283"/>
      <c r="D15" s="69"/>
      <c r="E15" s="69"/>
      <c r="F15" s="69"/>
      <c r="G15" s="201"/>
      <c r="H15" s="283"/>
      <c r="I15" s="283"/>
      <c r="J15" s="202"/>
      <c r="K15" s="69"/>
    </row>
    <row r="16" spans="1:11" x14ac:dyDescent="0.25">
      <c r="A16" s="201"/>
      <c r="B16" s="80"/>
      <c r="C16" s="80"/>
      <c r="D16" s="69"/>
      <c r="E16" s="69"/>
      <c r="F16" s="69"/>
      <c r="G16" s="201"/>
      <c r="H16" s="80"/>
      <c r="I16" s="80"/>
      <c r="J16" s="202"/>
      <c r="K16" s="69"/>
    </row>
    <row r="17" spans="1:11" x14ac:dyDescent="0.25">
      <c r="A17" s="202"/>
      <c r="B17" s="199"/>
      <c r="C17" s="199"/>
      <c r="D17" s="69"/>
      <c r="E17" s="69"/>
      <c r="F17" s="69"/>
      <c r="G17" s="202"/>
      <c r="H17" s="200"/>
      <c r="I17" s="200"/>
      <c r="J17" s="200"/>
      <c r="K17" s="69"/>
    </row>
    <row r="18" spans="1:11" x14ac:dyDescent="0.25">
      <c r="A18" s="202"/>
      <c r="B18" s="200"/>
      <c r="C18" s="200"/>
      <c r="D18" s="69"/>
      <c r="E18" s="69"/>
      <c r="F18" s="69"/>
      <c r="G18" s="202"/>
      <c r="H18" s="200"/>
      <c r="I18" s="200"/>
      <c r="J18" s="200"/>
      <c r="K18" s="69"/>
    </row>
    <row r="19" spans="1:11" x14ac:dyDescent="0.25">
      <c r="A19" s="202"/>
      <c r="B19" s="83"/>
      <c r="C19" s="83"/>
      <c r="D19" s="69"/>
      <c r="E19" s="69"/>
      <c r="F19" s="69"/>
      <c r="G19" s="202"/>
      <c r="H19" s="77"/>
      <c r="I19" s="77"/>
      <c r="J19" s="77"/>
      <c r="K19" s="69"/>
    </row>
    <row r="20" spans="1:11" x14ac:dyDescent="0.25">
      <c r="B20" s="79"/>
      <c r="C20" s="79"/>
      <c r="D20" s="69"/>
      <c r="E20" s="69"/>
      <c r="F20" s="69"/>
      <c r="G20" s="69"/>
      <c r="H20" s="69"/>
      <c r="I20" s="69"/>
      <c r="J20" s="69"/>
      <c r="K20" s="69"/>
    </row>
    <row r="21" spans="1:11" x14ac:dyDescent="0.25">
      <c r="A21" s="72" t="s">
        <v>305</v>
      </c>
      <c r="B21" s="283">
        <v>2024</v>
      </c>
      <c r="C21" s="283"/>
      <c r="D21" s="69"/>
      <c r="E21" s="69"/>
      <c r="F21" s="69"/>
      <c r="G21" s="69"/>
      <c r="H21" s="69"/>
      <c r="I21" s="69"/>
      <c r="J21" s="69"/>
      <c r="K21" s="69"/>
    </row>
    <row r="22" spans="1:11" x14ac:dyDescent="0.25">
      <c r="A22" s="71"/>
      <c r="B22" s="80" t="s">
        <v>301</v>
      </c>
      <c r="C22" s="80" t="s">
        <v>302</v>
      </c>
      <c r="D22" s="69"/>
      <c r="E22" s="69"/>
      <c r="F22" s="69"/>
      <c r="G22" s="72" t="s">
        <v>299</v>
      </c>
      <c r="H22" s="283">
        <v>2024</v>
      </c>
      <c r="I22" s="283"/>
      <c r="J22" s="70"/>
      <c r="K22" s="69"/>
    </row>
    <row r="23" spans="1:11" x14ac:dyDescent="0.25">
      <c r="A23" s="70" t="s">
        <v>303</v>
      </c>
      <c r="B23" s="74">
        <v>96.019000000000005</v>
      </c>
      <c r="C23" s="74">
        <f>191.218-B23</f>
        <v>95.198999999999984</v>
      </c>
      <c r="D23" s="69"/>
      <c r="E23" s="69"/>
      <c r="F23" s="69"/>
      <c r="G23" s="71"/>
      <c r="H23" s="73" t="s">
        <v>301</v>
      </c>
      <c r="I23" s="73" t="s">
        <v>302</v>
      </c>
      <c r="J23" s="70"/>
      <c r="K23" s="69"/>
    </row>
    <row r="24" spans="1:11" x14ac:dyDescent="0.25">
      <c r="A24" s="70" t="s">
        <v>304</v>
      </c>
      <c r="B24" s="76">
        <v>4118.2549099999997</v>
      </c>
      <c r="C24" s="76">
        <f>8564.04821-B24</f>
        <v>4445.7933000000012</v>
      </c>
      <c r="D24" s="69"/>
      <c r="E24" s="69"/>
      <c r="F24" s="69"/>
      <c r="G24" s="70" t="s">
        <v>303</v>
      </c>
      <c r="H24" s="75">
        <f>H5+H11+H17</f>
        <v>167681.4</v>
      </c>
      <c r="I24" s="75">
        <f>I5+I11+I17</f>
        <v>112044.80000000002</v>
      </c>
      <c r="J24" s="75">
        <f>H24+I24</f>
        <v>279726.2</v>
      </c>
      <c r="K24" s="69"/>
    </row>
    <row r="25" spans="1:11" x14ac:dyDescent="0.25">
      <c r="B25" s="69">
        <f>B24/B23</f>
        <v>42.889999999999993</v>
      </c>
      <c r="C25" s="84">
        <f>C24/C23</f>
        <v>46.700000000000017</v>
      </c>
      <c r="D25" s="69"/>
      <c r="E25" s="69"/>
      <c r="F25" s="69"/>
      <c r="G25" s="70" t="s">
        <v>304</v>
      </c>
      <c r="H25" s="76">
        <f>H6+H12+H18</f>
        <v>842358.60483000008</v>
      </c>
      <c r="I25" s="76">
        <f>I6+I12+I18</f>
        <v>750888.68604000006</v>
      </c>
      <c r="J25" s="75">
        <f>H25+I25</f>
        <v>1593247.2908700001</v>
      </c>
      <c r="K25" s="69"/>
    </row>
    <row r="26" spans="1:11" x14ac:dyDescent="0.25">
      <c r="B26" s="69"/>
      <c r="C26" s="69"/>
      <c r="D26" s="69"/>
      <c r="E26" s="69"/>
      <c r="F26" s="69"/>
      <c r="G26" s="70"/>
      <c r="H26" s="78">
        <f>H25/H24*1000</f>
        <v>5023.5661488394071</v>
      </c>
      <c r="I26" s="78">
        <f>I25/I24*1000</f>
        <v>6701.6825951762148</v>
      </c>
      <c r="J26" s="78">
        <f>J25/J24*1000</f>
        <v>5695.7385145545895</v>
      </c>
      <c r="K26" s="69"/>
    </row>
    <row r="27" spans="1:11" x14ac:dyDescent="0.25">
      <c r="B27" s="69"/>
      <c r="C27" s="69"/>
      <c r="D27" s="69"/>
      <c r="E27" s="69"/>
      <c r="F27" s="69"/>
      <c r="G27" s="69"/>
      <c r="H27" s="69"/>
      <c r="I27" s="69"/>
      <c r="J27" s="69"/>
      <c r="K27" s="69"/>
    </row>
    <row r="28" spans="1:11" x14ac:dyDescent="0.25">
      <c r="B28" s="69"/>
      <c r="C28" s="69"/>
      <c r="D28" s="69"/>
      <c r="E28" s="69"/>
      <c r="F28" s="69"/>
      <c r="G28" s="69"/>
      <c r="H28" s="69"/>
      <c r="I28" s="69"/>
      <c r="J28" s="69"/>
      <c r="K28" s="69"/>
    </row>
    <row r="29" spans="1:11" x14ac:dyDescent="0.25">
      <c r="B29" s="69"/>
      <c r="C29" s="69"/>
      <c r="D29" s="69"/>
      <c r="E29" s="69"/>
      <c r="F29" s="69"/>
      <c r="G29" s="69"/>
      <c r="H29" s="69"/>
      <c r="I29" s="69"/>
      <c r="J29" s="69"/>
      <c r="K29" s="69"/>
    </row>
    <row r="30" spans="1:11" x14ac:dyDescent="0.25">
      <c r="B30" s="69"/>
      <c r="C30" s="69"/>
      <c r="D30" s="69"/>
      <c r="E30" s="69"/>
      <c r="F30" s="69"/>
      <c r="G30" s="69"/>
      <c r="H30" s="69"/>
      <c r="I30" s="69"/>
      <c r="J30" s="69"/>
      <c r="K30" s="69"/>
    </row>
  </sheetData>
  <mergeCells count="8">
    <mergeCell ref="B21:C21"/>
    <mergeCell ref="H22:I22"/>
    <mergeCell ref="B3:C3"/>
    <mergeCell ref="H3:I3"/>
    <mergeCell ref="B9:C9"/>
    <mergeCell ref="H9:I9"/>
    <mergeCell ref="B15:C15"/>
    <mergeCell ref="H15:I15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54"/>
  <sheetViews>
    <sheetView zoomScale="70" zoomScaleNormal="70" workbookViewId="0">
      <selection activeCell="F33" sqref="F33"/>
    </sheetView>
  </sheetViews>
  <sheetFormatPr defaultRowHeight="12.75" outlineLevelCol="1" x14ac:dyDescent="0.2"/>
  <cols>
    <col min="1" max="2" width="13" customWidth="1"/>
    <col min="3" max="4" width="12" bestFit="1" customWidth="1"/>
    <col min="5" max="5" width="13.5703125" bestFit="1" customWidth="1"/>
    <col min="6" max="6" width="10.85546875" bestFit="1" customWidth="1"/>
    <col min="7" max="7" width="12.28515625" customWidth="1"/>
    <col min="8" max="8" width="11.140625" customWidth="1" outlineLevel="1"/>
    <col min="9" max="11" width="9.28515625" customWidth="1" outlineLevel="1"/>
    <col min="12" max="12" width="11.7109375" bestFit="1" customWidth="1" outlineLevel="1"/>
    <col min="13" max="13" width="13.7109375" customWidth="1" outlineLevel="1"/>
    <col min="14" max="14" width="14.140625" customWidth="1" outlineLevel="1"/>
    <col min="15" max="15" width="13.140625" customWidth="1" outlineLevel="1"/>
    <col min="16" max="16" width="12" customWidth="1" outlineLevel="1"/>
    <col min="17" max="18" width="11.85546875" customWidth="1" outlineLevel="1"/>
    <col min="19" max="19" width="11" customWidth="1" outlineLevel="1"/>
  </cols>
  <sheetData>
    <row r="1" spans="1:20" ht="15" x14ac:dyDescent="0.2">
      <c r="A1" s="284" t="s">
        <v>307</v>
      </c>
      <c r="B1" s="284" t="s">
        <v>308</v>
      </c>
      <c r="C1" s="284"/>
      <c r="D1" s="284"/>
      <c r="E1" s="284"/>
      <c r="F1" s="284"/>
      <c r="G1" s="284"/>
      <c r="H1" s="284" t="s">
        <v>309</v>
      </c>
      <c r="I1" s="284"/>
      <c r="J1" s="284"/>
      <c r="K1" s="284"/>
      <c r="L1" s="284"/>
      <c r="M1" s="284"/>
      <c r="N1" s="284" t="s">
        <v>310</v>
      </c>
      <c r="O1" s="284"/>
      <c r="P1" s="284"/>
      <c r="Q1" s="284"/>
      <c r="R1" s="284"/>
      <c r="S1" s="284"/>
    </row>
    <row r="2" spans="1:20" ht="15" customHeight="1" x14ac:dyDescent="0.2">
      <c r="A2" s="284"/>
      <c r="B2" s="285" t="s">
        <v>311</v>
      </c>
      <c r="C2" s="285"/>
      <c r="D2" s="285"/>
      <c r="E2" s="285"/>
      <c r="F2" s="285"/>
      <c r="G2" s="284" t="s">
        <v>312</v>
      </c>
      <c r="H2" s="284" t="s">
        <v>311</v>
      </c>
      <c r="I2" s="284"/>
      <c r="J2" s="284"/>
      <c r="K2" s="284"/>
      <c r="L2" s="284"/>
      <c r="M2" s="284" t="s">
        <v>312</v>
      </c>
      <c r="N2" s="284" t="s">
        <v>311</v>
      </c>
      <c r="O2" s="284"/>
      <c r="P2" s="284"/>
      <c r="Q2" s="284"/>
      <c r="R2" s="284"/>
      <c r="S2" s="284" t="s">
        <v>312</v>
      </c>
    </row>
    <row r="3" spans="1:20" x14ac:dyDescent="0.2">
      <c r="A3" s="284"/>
      <c r="B3" s="85" t="s">
        <v>313</v>
      </c>
      <c r="C3" s="85" t="s">
        <v>314</v>
      </c>
      <c r="D3" s="85" t="s">
        <v>315</v>
      </c>
      <c r="E3" s="85" t="s">
        <v>316</v>
      </c>
      <c r="F3" s="85" t="s">
        <v>317</v>
      </c>
      <c r="G3" s="284"/>
      <c r="H3" s="86" t="s">
        <v>313</v>
      </c>
      <c r="I3" s="85" t="s">
        <v>314</v>
      </c>
      <c r="J3" s="85" t="s">
        <v>315</v>
      </c>
      <c r="K3" s="85" t="s">
        <v>316</v>
      </c>
      <c r="L3" s="85" t="s">
        <v>317</v>
      </c>
      <c r="M3" s="284"/>
      <c r="N3" s="86" t="s">
        <v>313</v>
      </c>
      <c r="O3" s="85" t="s">
        <v>314</v>
      </c>
      <c r="P3" s="85" t="s">
        <v>315</v>
      </c>
      <c r="Q3" s="85" t="s">
        <v>316</v>
      </c>
      <c r="R3" s="85" t="s">
        <v>317</v>
      </c>
      <c r="S3" s="284"/>
    </row>
    <row r="4" spans="1:20" ht="15" x14ac:dyDescent="0.25">
      <c r="A4" s="87" t="s">
        <v>318</v>
      </c>
      <c r="B4" s="207">
        <f>SUM(C4:G4)</f>
        <v>47522819.349870004</v>
      </c>
      <c r="C4" s="88">
        <v>21638718.300000001</v>
      </c>
      <c r="D4" s="88">
        <v>11377573.1667</v>
      </c>
      <c r="E4" s="88">
        <f>22233171.73182-E40</f>
        <v>8907104.7318199985</v>
      </c>
      <c r="F4" s="88">
        <v>2244618.5472499998</v>
      </c>
      <c r="G4" s="88">
        <v>3354804.6040999996</v>
      </c>
      <c r="H4" s="89">
        <f>ROUND(N4/B4,5)</f>
        <v>2.0552000000000001</v>
      </c>
      <c r="I4" s="89">
        <v>1.84782</v>
      </c>
      <c r="J4" s="89">
        <v>1.84782</v>
      </c>
      <c r="K4" s="89">
        <v>3.2839999999999998</v>
      </c>
      <c r="L4" s="89">
        <v>3.2839999999999998</v>
      </c>
      <c r="M4" s="90">
        <v>1.146E-2</v>
      </c>
      <c r="N4" s="91">
        <f t="shared" ref="N4:N15" si="0">SUM(O4:S4)</f>
        <v>97668869.007226452</v>
      </c>
      <c r="O4" s="91">
        <f t="shared" ref="O4:S15" si="1">C4*I4</f>
        <v>39984456.449106</v>
      </c>
      <c r="P4" s="91">
        <f t="shared" si="1"/>
        <v>21023707.248891596</v>
      </c>
      <c r="Q4" s="91">
        <f t="shared" si="1"/>
        <v>29250931.939296871</v>
      </c>
      <c r="R4" s="91">
        <f t="shared" si="1"/>
        <v>7371327.3091689991</v>
      </c>
      <c r="S4" s="91">
        <f t="shared" si="1"/>
        <v>38446.060762985995</v>
      </c>
      <c r="T4" s="92"/>
    </row>
    <row r="5" spans="1:20" ht="15" x14ac:dyDescent="0.25">
      <c r="A5" s="87" t="s">
        <v>319</v>
      </c>
      <c r="B5" s="207">
        <f t="shared" ref="B5:B15" si="2">SUM(C5:G5)</f>
        <v>45147799.601589993</v>
      </c>
      <c r="C5" s="88">
        <v>19775621.5</v>
      </c>
      <c r="D5" s="88">
        <v>10689591.658</v>
      </c>
      <c r="E5" s="88">
        <f>21680671.19378-E41</f>
        <v>9182235.1937800013</v>
      </c>
      <c r="F5" s="88">
        <v>2069397.4856999998</v>
      </c>
      <c r="G5" s="88">
        <v>3430953.7641099994</v>
      </c>
      <c r="H5" s="89">
        <f t="shared" ref="H5:H16" si="3">ROUND(N5/B5,5)</f>
        <v>2.0661900000000002</v>
      </c>
      <c r="I5" s="89">
        <f>$I$4</f>
        <v>1.84782</v>
      </c>
      <c r="J5" s="89">
        <f>$J$4</f>
        <v>1.84782</v>
      </c>
      <c r="K5" s="89">
        <f>$K$4</f>
        <v>3.2839999999999998</v>
      </c>
      <c r="L5" s="89">
        <f>$L$4</f>
        <v>3.2839999999999998</v>
      </c>
      <c r="M5" s="90">
        <f>$M$4</f>
        <v>1.146E-2</v>
      </c>
      <c r="N5" s="91">
        <f t="shared" si="0"/>
        <v>93283910.627164587</v>
      </c>
      <c r="O5" s="91">
        <f t="shared" si="1"/>
        <v>36541788.92013</v>
      </c>
      <c r="P5" s="91">
        <f t="shared" si="1"/>
        <v>19752441.257485561</v>
      </c>
      <c r="Q5" s="91">
        <f t="shared" si="1"/>
        <v>30154460.376373522</v>
      </c>
      <c r="R5" s="91">
        <f t="shared" si="1"/>
        <v>6795901.3430387992</v>
      </c>
      <c r="S5" s="91">
        <f t="shared" si="1"/>
        <v>39318.730136700593</v>
      </c>
      <c r="T5" s="92"/>
    </row>
    <row r="6" spans="1:20" ht="15" x14ac:dyDescent="0.25">
      <c r="A6" s="87" t="s">
        <v>320</v>
      </c>
      <c r="B6" s="207">
        <f>SUM(C6:G6)</f>
        <v>41871776.092949994</v>
      </c>
      <c r="C6" s="88">
        <v>19424502.100000001</v>
      </c>
      <c r="D6" s="88">
        <v>10559783.704499999</v>
      </c>
      <c r="E6" s="88">
        <f>20342299.82179-E42</f>
        <v>7161618.8217899986</v>
      </c>
      <c r="F6" s="88">
        <v>1858727.5613699998</v>
      </c>
      <c r="G6" s="88">
        <v>2867143.9052899997</v>
      </c>
      <c r="H6" s="89">
        <f t="shared" si="3"/>
        <v>2.0314700000000001</v>
      </c>
      <c r="I6" s="89">
        <f t="shared" ref="I6:I9" si="4">$I$4</f>
        <v>1.84782</v>
      </c>
      <c r="J6" s="89">
        <f t="shared" ref="J6:J9" si="5">$J$4</f>
        <v>1.84782</v>
      </c>
      <c r="K6" s="89">
        <f t="shared" ref="K6:K9" si="6">$K$4</f>
        <v>3.2839999999999998</v>
      </c>
      <c r="L6" s="89">
        <f t="shared" ref="L6:L9" si="7">$L$4</f>
        <v>3.2839999999999998</v>
      </c>
      <c r="M6" s="90">
        <f t="shared" ref="M6:M9" si="8">$M$4</f>
        <v>1.146E-2</v>
      </c>
      <c r="N6" s="91">
        <f t="shared" si="0"/>
        <v>85061237.986723259</v>
      </c>
      <c r="O6" s="91">
        <f t="shared" si="1"/>
        <v>35892983.470422</v>
      </c>
      <c r="P6" s="91">
        <f t="shared" si="1"/>
        <v>19512579.524849188</v>
      </c>
      <c r="Q6" s="91">
        <f t="shared" si="1"/>
        <v>23518756.210758355</v>
      </c>
      <c r="R6" s="91">
        <f t="shared" si="1"/>
        <v>6104061.3115390791</v>
      </c>
      <c r="S6" s="91">
        <f t="shared" si="1"/>
        <v>32857.469154623395</v>
      </c>
      <c r="T6" s="92"/>
    </row>
    <row r="7" spans="1:20" ht="15" x14ac:dyDescent="0.25">
      <c r="A7" s="87" t="s">
        <v>321</v>
      </c>
      <c r="B7" s="207">
        <f t="shared" si="2"/>
        <v>39588771.640749998</v>
      </c>
      <c r="C7" s="88">
        <v>18757765.800000001</v>
      </c>
      <c r="D7" s="88">
        <v>9202524.1731000002</v>
      </c>
      <c r="E7" s="88">
        <f>19291796.61315-E43</f>
        <v>6782444.6131500006</v>
      </c>
      <c r="F7" s="88">
        <v>1700473.4667099998</v>
      </c>
      <c r="G7" s="88">
        <v>3145563.5877899998</v>
      </c>
      <c r="H7" s="89">
        <f t="shared" si="3"/>
        <v>2.0096500000000002</v>
      </c>
      <c r="I7" s="89">
        <f t="shared" si="4"/>
        <v>1.84782</v>
      </c>
      <c r="J7" s="89">
        <f t="shared" si="5"/>
        <v>1.84782</v>
      </c>
      <c r="K7" s="89">
        <f t="shared" si="6"/>
        <v>3.2839999999999998</v>
      </c>
      <c r="L7" s="89">
        <f t="shared" si="7"/>
        <v>3.2839999999999998</v>
      </c>
      <c r="M7" s="90">
        <f t="shared" si="8"/>
        <v>1.146E-2</v>
      </c>
      <c r="N7" s="91">
        <f t="shared" si="0"/>
        <v>79559534.151069954</v>
      </c>
      <c r="O7" s="91">
        <f t="shared" si="1"/>
        <v>34660974.800556004</v>
      </c>
      <c r="P7" s="91">
        <f t="shared" si="1"/>
        <v>17004608.217537642</v>
      </c>
      <c r="Q7" s="91">
        <f t="shared" si="1"/>
        <v>22273548.1095846</v>
      </c>
      <c r="R7" s="91">
        <f t="shared" si="1"/>
        <v>5584354.8646756392</v>
      </c>
      <c r="S7" s="91">
        <f t="shared" si="1"/>
        <v>36048.158716073398</v>
      </c>
      <c r="T7" s="92"/>
    </row>
    <row r="8" spans="1:20" ht="15" x14ac:dyDescent="0.25">
      <c r="A8" s="87" t="s">
        <v>322</v>
      </c>
      <c r="B8" s="207">
        <f t="shared" si="2"/>
        <v>32841165.34172</v>
      </c>
      <c r="C8" s="88">
        <v>15656145.800000001</v>
      </c>
      <c r="D8" s="88">
        <v>7379270.5447000004</v>
      </c>
      <c r="E8" s="88">
        <f>17980515.80967-E44</f>
        <v>5580669.8096700013</v>
      </c>
      <c r="F8" s="88">
        <v>1527900.36054</v>
      </c>
      <c r="G8" s="88">
        <v>2697178.82681</v>
      </c>
      <c r="H8" s="89">
        <f t="shared" si="3"/>
        <v>2.00787</v>
      </c>
      <c r="I8" s="89">
        <f t="shared" si="4"/>
        <v>1.84782</v>
      </c>
      <c r="J8" s="89">
        <f t="shared" si="5"/>
        <v>1.84782</v>
      </c>
      <c r="K8" s="89">
        <f t="shared" si="6"/>
        <v>3.2839999999999998</v>
      </c>
      <c r="L8" s="89">
        <f t="shared" si="7"/>
        <v>3.2839999999999998</v>
      </c>
      <c r="M8" s="90">
        <f t="shared" si="8"/>
        <v>1.146E-2</v>
      </c>
      <c r="N8" s="91">
        <f t="shared" si="0"/>
        <v>65940757.13838844</v>
      </c>
      <c r="O8" s="91">
        <f t="shared" si="1"/>
        <v>28929739.332156003</v>
      </c>
      <c r="P8" s="91">
        <f t="shared" si="1"/>
        <v>13635563.697907556</v>
      </c>
      <c r="Q8" s="91">
        <f t="shared" si="1"/>
        <v>18326919.654956285</v>
      </c>
      <c r="R8" s="91">
        <f t="shared" si="1"/>
        <v>5017624.7840133598</v>
      </c>
      <c r="S8" s="91">
        <f t="shared" si="1"/>
        <v>30909.6693552426</v>
      </c>
      <c r="T8" s="92"/>
    </row>
    <row r="9" spans="1:20" ht="15.75" thickBot="1" x14ac:dyDescent="0.3">
      <c r="A9" s="93" t="s">
        <v>323</v>
      </c>
      <c r="B9" s="208">
        <f t="shared" si="2"/>
        <v>28997730.543680005</v>
      </c>
      <c r="C9" s="94">
        <v>15149595.000000002</v>
      </c>
      <c r="D9" s="94">
        <v>6059974.4936000006</v>
      </c>
      <c r="E9" s="94">
        <f>16293894.39999-E45</f>
        <v>4079061.3999899998</v>
      </c>
      <c r="F9" s="94">
        <v>1348573.0252099999</v>
      </c>
      <c r="G9" s="94">
        <v>2360526.62488</v>
      </c>
      <c r="H9" s="95">
        <f t="shared" si="3"/>
        <v>1.96715</v>
      </c>
      <c r="I9" s="95">
        <f t="shared" si="4"/>
        <v>1.84782</v>
      </c>
      <c r="J9" s="89">
        <f t="shared" si="5"/>
        <v>1.84782</v>
      </c>
      <c r="K9" s="95">
        <f t="shared" si="6"/>
        <v>3.2839999999999998</v>
      </c>
      <c r="L9" s="89">
        <f t="shared" si="7"/>
        <v>3.2839999999999998</v>
      </c>
      <c r="M9" s="96">
        <f t="shared" si="8"/>
        <v>1.146E-2</v>
      </c>
      <c r="N9" s="97">
        <f t="shared" si="0"/>
        <v>57042869.789141878</v>
      </c>
      <c r="O9" s="97">
        <f t="shared" si="1"/>
        <v>27993724.632900003</v>
      </c>
      <c r="P9" s="97">
        <f t="shared" si="1"/>
        <v>11197742.068763953</v>
      </c>
      <c r="Q9" s="97">
        <f t="shared" si="1"/>
        <v>13395637.637567159</v>
      </c>
      <c r="R9" s="97">
        <f t="shared" si="1"/>
        <v>4428713.8147896398</v>
      </c>
      <c r="S9" s="97">
        <f t="shared" si="1"/>
        <v>27051.6351211248</v>
      </c>
      <c r="T9" s="92"/>
    </row>
    <row r="10" spans="1:20" ht="15" x14ac:dyDescent="0.25">
      <c r="A10" s="98" t="s">
        <v>324</v>
      </c>
      <c r="B10" s="209">
        <f t="shared" si="2"/>
        <v>26721462.600000001</v>
      </c>
      <c r="C10" s="99">
        <v>14637004.01</v>
      </c>
      <c r="D10" s="99">
        <v>5771397.0005999999</v>
      </c>
      <c r="E10" s="99">
        <f>15675150.56836-E46</f>
        <v>2808034.5683600008</v>
      </c>
      <c r="F10" s="99">
        <v>1158445.8093099999</v>
      </c>
      <c r="G10" s="99">
        <v>2346581.2117299992</v>
      </c>
      <c r="H10" s="100">
        <f t="shared" si="3"/>
        <v>2.0725099999999999</v>
      </c>
      <c r="I10" s="100">
        <v>2.0159500000000001</v>
      </c>
      <c r="J10" s="100">
        <f>I10</f>
        <v>2.0159500000000001</v>
      </c>
      <c r="K10" s="100">
        <v>3.58284</v>
      </c>
      <c r="L10" s="100">
        <f>K10</f>
        <v>3.58284</v>
      </c>
      <c r="M10" s="101">
        <v>1.146E-2</v>
      </c>
      <c r="N10" s="102">
        <f t="shared" si="0"/>
        <v>55380472.394336678</v>
      </c>
      <c r="O10" s="102">
        <f t="shared" si="1"/>
        <v>29507468.2339595</v>
      </c>
      <c r="P10" s="102">
        <f t="shared" si="1"/>
        <v>11634847.78335957</v>
      </c>
      <c r="Q10" s="102">
        <f t="shared" si="1"/>
        <v>10060738.572902946</v>
      </c>
      <c r="R10" s="102">
        <f t="shared" si="1"/>
        <v>4150525.9834282403</v>
      </c>
      <c r="S10" s="103">
        <f t="shared" si="1"/>
        <v>26891.820686425788</v>
      </c>
      <c r="T10" s="92"/>
    </row>
    <row r="11" spans="1:20" ht="15" x14ac:dyDescent="0.25">
      <c r="A11" s="104" t="s">
        <v>325</v>
      </c>
      <c r="B11" s="210">
        <f t="shared" si="2"/>
        <v>28867387.638410002</v>
      </c>
      <c r="C11" s="105">
        <v>15865750.489999998</v>
      </c>
      <c r="D11" s="105">
        <v>4913744.8825100008</v>
      </c>
      <c r="E11" s="105">
        <f>17038592.9712-E47</f>
        <v>3660514.9712000005</v>
      </c>
      <c r="F11" s="105">
        <v>1433633.0849699997</v>
      </c>
      <c r="G11" s="105">
        <v>2993744.2097299998</v>
      </c>
      <c r="H11" s="106">
        <f t="shared" si="3"/>
        <v>2.0845799999999999</v>
      </c>
      <c r="I11" s="106">
        <f>$I$10</f>
        <v>2.0159500000000001</v>
      </c>
      <c r="J11" s="106">
        <f>$J$10</f>
        <v>2.0159500000000001</v>
      </c>
      <c r="K11" s="106">
        <f>$K$10</f>
        <v>3.58284</v>
      </c>
      <c r="L11" s="106">
        <f>$L$10</f>
        <v>3.58284</v>
      </c>
      <c r="M11" s="107">
        <f>$M$10</f>
        <v>1.146E-2</v>
      </c>
      <c r="N11" s="108">
        <f t="shared" si="0"/>
        <v>60176249.426423162</v>
      </c>
      <c r="O11" s="108">
        <f t="shared" si="1"/>
        <v>31984559.700315498</v>
      </c>
      <c r="P11" s="108">
        <f t="shared" si="1"/>
        <v>9905863.9958960377</v>
      </c>
      <c r="Q11" s="108">
        <f t="shared" si="1"/>
        <v>13115039.45941421</v>
      </c>
      <c r="R11" s="108">
        <f t="shared" si="1"/>
        <v>5136477.9621539135</v>
      </c>
      <c r="S11" s="109">
        <f t="shared" si="1"/>
        <v>34308.308643505799</v>
      </c>
      <c r="T11" s="92"/>
    </row>
    <row r="12" spans="1:20" ht="15" x14ac:dyDescent="0.25">
      <c r="A12" s="104" t="s">
        <v>326</v>
      </c>
      <c r="B12" s="210">
        <f t="shared" si="2"/>
        <v>31697070.286720999</v>
      </c>
      <c r="C12" s="105">
        <v>15538051.6</v>
      </c>
      <c r="D12" s="105">
        <v>7740009.6112900004</v>
      </c>
      <c r="E12" s="105">
        <f>16678378.522961-E48</f>
        <v>4387325.522961</v>
      </c>
      <c r="F12" s="105">
        <v>1474263.9199000003</v>
      </c>
      <c r="G12" s="105">
        <v>2557419.6325699999</v>
      </c>
      <c r="H12" s="106">
        <f>ROUND(N12/B12,5)</f>
        <v>2.14398</v>
      </c>
      <c r="I12" s="106">
        <f t="shared" ref="I12:I15" si="9">$I$10</f>
        <v>2.0159500000000001</v>
      </c>
      <c r="J12" s="106">
        <f t="shared" ref="J12:J15" si="10">$J$10</f>
        <v>2.0159500000000001</v>
      </c>
      <c r="K12" s="106">
        <f t="shared" ref="K12:K15" si="11">$K$10</f>
        <v>3.58284</v>
      </c>
      <c r="L12" s="106">
        <f t="shared" ref="L12:L15" si="12">$L$10</f>
        <v>3.58284</v>
      </c>
      <c r="M12" s="107">
        <f t="shared" ref="M12:M15" si="13">$M$10</f>
        <v>1.146E-2</v>
      </c>
      <c r="N12" s="108">
        <f t="shared" si="0"/>
        <v>67957852.647349447</v>
      </c>
      <c r="O12" s="108">
        <f t="shared" si="1"/>
        <v>31323935.123020001</v>
      </c>
      <c r="P12" s="108">
        <f t="shared" si="1"/>
        <v>15603472.375880077</v>
      </c>
      <c r="Q12" s="108">
        <f t="shared" si="1"/>
        <v>15719085.37668559</v>
      </c>
      <c r="R12" s="108">
        <f t="shared" si="1"/>
        <v>5282051.7427745173</v>
      </c>
      <c r="S12" s="109">
        <f t="shared" si="1"/>
        <v>29308.028989252198</v>
      </c>
      <c r="T12" s="92"/>
    </row>
    <row r="13" spans="1:20" ht="15" x14ac:dyDescent="0.25">
      <c r="A13" s="104" t="s">
        <v>327</v>
      </c>
      <c r="B13" s="210">
        <f t="shared" si="2"/>
        <v>34485464.249919996</v>
      </c>
      <c r="C13" s="105">
        <v>15718720.1</v>
      </c>
      <c r="D13" s="105">
        <v>7740277.3986099996</v>
      </c>
      <c r="E13" s="105">
        <f>19523902.46049-E49</f>
        <v>6208333.4604899995</v>
      </c>
      <c r="F13" s="105">
        <v>1708718.13469</v>
      </c>
      <c r="G13" s="105">
        <v>3109415.1561300005</v>
      </c>
      <c r="H13" s="106">
        <f t="shared" si="3"/>
        <v>2.1949299999999998</v>
      </c>
      <c r="I13" s="106">
        <f t="shared" si="9"/>
        <v>2.0159500000000001</v>
      </c>
      <c r="J13" s="106">
        <f t="shared" si="10"/>
        <v>2.0159500000000001</v>
      </c>
      <c r="K13" s="106">
        <f t="shared" si="11"/>
        <v>3.58284</v>
      </c>
      <c r="L13" s="106">
        <f t="shared" si="12"/>
        <v>3.58284</v>
      </c>
      <c r="M13" s="107">
        <f t="shared" si="13"/>
        <v>1.146E-2</v>
      </c>
      <c r="N13" s="108">
        <f t="shared" si="0"/>
        <v>75693329.042286798</v>
      </c>
      <c r="O13" s="108">
        <f t="shared" si="1"/>
        <v>31688153.785595</v>
      </c>
      <c r="P13" s="108">
        <f t="shared" si="1"/>
        <v>15604012.221727829</v>
      </c>
      <c r="Q13" s="108">
        <f t="shared" si="1"/>
        <v>22243465.455581989</v>
      </c>
      <c r="R13" s="108">
        <f t="shared" si="1"/>
        <v>6122063.6816927195</v>
      </c>
      <c r="S13" s="109">
        <f t="shared" si="1"/>
        <v>35633.897689249803</v>
      </c>
      <c r="T13" s="92"/>
    </row>
    <row r="14" spans="1:20" ht="15" x14ac:dyDescent="0.25">
      <c r="A14" s="104" t="s">
        <v>328</v>
      </c>
      <c r="B14" s="210">
        <f t="shared" si="2"/>
        <v>41714028.093654998</v>
      </c>
      <c r="C14" s="105">
        <v>17065948.199999999</v>
      </c>
      <c r="D14" s="105">
        <v>10335463.75299</v>
      </c>
      <c r="E14" s="105">
        <f>22501936.87579-E50</f>
        <v>9336390.87579</v>
      </c>
      <c r="F14" s="105">
        <v>2046935.021835</v>
      </c>
      <c r="G14" s="105">
        <v>2929290.2430400015</v>
      </c>
      <c r="H14" s="106">
        <f t="shared" si="3"/>
        <v>2.3027799999999998</v>
      </c>
      <c r="I14" s="106">
        <f t="shared" si="9"/>
        <v>2.0159500000000001</v>
      </c>
      <c r="J14" s="106">
        <f t="shared" si="10"/>
        <v>2.0159500000000001</v>
      </c>
      <c r="K14" s="106">
        <f t="shared" si="11"/>
        <v>3.58284</v>
      </c>
      <c r="L14" s="106">
        <f t="shared" si="12"/>
        <v>3.58284</v>
      </c>
      <c r="M14" s="107">
        <f t="shared" si="13"/>
        <v>1.146E-2</v>
      </c>
      <c r="N14" s="108">
        <f t="shared" si="0"/>
        <v>96058081.451862201</v>
      </c>
      <c r="O14" s="108">
        <f t="shared" si="1"/>
        <v>34404098.273790002</v>
      </c>
      <c r="P14" s="108">
        <f t="shared" si="1"/>
        <v>20835778.152840193</v>
      </c>
      <c r="Q14" s="108">
        <f t="shared" si="1"/>
        <v>33450794.685415443</v>
      </c>
      <c r="R14" s="108">
        <f t="shared" si="1"/>
        <v>7333840.6736313114</v>
      </c>
      <c r="S14" s="109">
        <f t="shared" si="1"/>
        <v>33569.666185238413</v>
      </c>
      <c r="T14" s="92"/>
    </row>
    <row r="15" spans="1:20" ht="15.75" thickBot="1" x14ac:dyDescent="0.3">
      <c r="A15" s="110" t="s">
        <v>329</v>
      </c>
      <c r="B15" s="211">
        <f t="shared" si="2"/>
        <v>39932071.240449995</v>
      </c>
      <c r="C15" s="111">
        <v>16528352.200000001</v>
      </c>
      <c r="D15" s="111">
        <v>10872691.477149997</v>
      </c>
      <c r="E15" s="111">
        <f>21137405.05335-E51</f>
        <v>8038467.0533500016</v>
      </c>
      <c r="F15" s="111">
        <v>1602808.2515199999</v>
      </c>
      <c r="G15" s="111">
        <v>2889752.2584300004</v>
      </c>
      <c r="H15" s="112">
        <f t="shared" si="3"/>
        <v>2.2492000000000001</v>
      </c>
      <c r="I15" s="112">
        <f t="shared" si="9"/>
        <v>2.0159500000000001</v>
      </c>
      <c r="J15" s="112">
        <f t="shared" si="10"/>
        <v>2.0159500000000001</v>
      </c>
      <c r="K15" s="112">
        <f t="shared" si="11"/>
        <v>3.58284</v>
      </c>
      <c r="L15" s="112">
        <f t="shared" si="12"/>
        <v>3.58284</v>
      </c>
      <c r="M15" s="113">
        <f t="shared" si="13"/>
        <v>1.146E-2</v>
      </c>
      <c r="N15" s="114">
        <f t="shared" si="0"/>
        <v>89815397.375132605</v>
      </c>
      <c r="O15" s="114">
        <f t="shared" si="1"/>
        <v>33320331.617590003</v>
      </c>
      <c r="P15" s="114">
        <f t="shared" si="1"/>
        <v>21918802.383360539</v>
      </c>
      <c r="Q15" s="114">
        <f t="shared" si="1"/>
        <v>28800541.297424521</v>
      </c>
      <c r="R15" s="114">
        <f t="shared" si="1"/>
        <v>5742605.5158759169</v>
      </c>
      <c r="S15" s="115">
        <f t="shared" si="1"/>
        <v>33116.560881607802</v>
      </c>
      <c r="T15" s="92"/>
    </row>
    <row r="16" spans="1:20" s="122" customFormat="1" ht="15" x14ac:dyDescent="0.25">
      <c r="A16" s="116" t="s">
        <v>330</v>
      </c>
      <c r="B16" s="117">
        <f t="shared" ref="B16:G16" si="14">SUM(B4:B15)</f>
        <v>439387546.67971599</v>
      </c>
      <c r="C16" s="117">
        <f t="shared" si="14"/>
        <v>205756175.09999996</v>
      </c>
      <c r="D16" s="117">
        <f>SUM(D4:D15)</f>
        <v>102642301.86374998</v>
      </c>
      <c r="E16" s="117">
        <f>SUM(E4:E15)</f>
        <v>76132201.022350997</v>
      </c>
      <c r="F16" s="117">
        <f t="shared" si="14"/>
        <v>20174494.669004999</v>
      </c>
      <c r="G16" s="118">
        <f t="shared" si="14"/>
        <v>34682374.024609998</v>
      </c>
      <c r="H16" s="119">
        <f t="shared" si="3"/>
        <v>2.1021000000000001</v>
      </c>
      <c r="I16" s="119">
        <f>ROUND(O16/C16,5)</f>
        <v>1.92574</v>
      </c>
      <c r="J16" s="119">
        <f>ROUND(P16/D16,5)</f>
        <v>1.9254199999999999</v>
      </c>
      <c r="K16" s="119">
        <f>ROUND(Q16/E16,5)</f>
        <v>3.4191799999999999</v>
      </c>
      <c r="L16" s="119">
        <f>ROUND(R16/F16,5)</f>
        <v>3.42361</v>
      </c>
      <c r="M16" s="120">
        <f>ROUND(S16/G16,4)</f>
        <v>1.15E-2</v>
      </c>
      <c r="N16" s="117">
        <f t="shared" ref="N16:S16" si="15">SUM(N4:N15)</f>
        <v>923638561.03710544</v>
      </c>
      <c r="O16" s="117">
        <f t="shared" si="15"/>
        <v>396232214.33954</v>
      </c>
      <c r="P16" s="117">
        <f t="shared" si="15"/>
        <v>197629418.92849976</v>
      </c>
      <c r="Q16" s="117">
        <f t="shared" si="15"/>
        <v>260309918.77596149</v>
      </c>
      <c r="R16" s="117">
        <f t="shared" si="15"/>
        <v>69069548.986782134</v>
      </c>
      <c r="S16" s="117">
        <f t="shared" si="15"/>
        <v>397460.00632203056</v>
      </c>
      <c r="T16" s="121"/>
    </row>
    <row r="17" spans="1:20" s="122" customFormat="1" ht="15" x14ac:dyDescent="0.25">
      <c r="A17" s="123"/>
      <c r="B17" s="124"/>
      <c r="C17" s="124"/>
      <c r="D17" s="124"/>
      <c r="E17" s="124"/>
      <c r="F17" s="124"/>
      <c r="G17" s="125"/>
      <c r="H17" s="126"/>
      <c r="I17" s="126"/>
      <c r="J17" s="126"/>
      <c r="K17" s="126"/>
      <c r="L17" s="126"/>
      <c r="M17" s="127"/>
      <c r="N17" s="124"/>
      <c r="O17" s="124"/>
      <c r="P17" s="124"/>
      <c r="Q17" s="124"/>
      <c r="R17" s="124"/>
      <c r="S17" s="124"/>
      <c r="T17" s="121"/>
    </row>
    <row r="18" spans="1:20" s="122" customFormat="1" ht="15" x14ac:dyDescent="0.25">
      <c r="A18" s="123"/>
      <c r="B18" s="124"/>
      <c r="C18" s="124"/>
      <c r="D18" s="124"/>
      <c r="E18" s="124"/>
      <c r="F18" s="124"/>
      <c r="G18" s="125"/>
      <c r="H18" s="126"/>
      <c r="I18" s="126"/>
      <c r="J18" s="126"/>
      <c r="K18" s="126"/>
      <c r="L18" s="126"/>
      <c r="M18" s="127"/>
      <c r="N18" s="124"/>
      <c r="O18" s="124"/>
      <c r="P18" s="124"/>
      <c r="Q18" s="124"/>
      <c r="R18" s="124"/>
      <c r="S18" s="124"/>
      <c r="T18" s="121"/>
    </row>
    <row r="19" spans="1:20" s="122" customFormat="1" ht="15" x14ac:dyDescent="0.25">
      <c r="A19" s="123" t="s">
        <v>331</v>
      </c>
      <c r="B19" s="128">
        <f>558950688+G19</f>
        <v>593633062</v>
      </c>
      <c r="C19" s="128">
        <v>205756175</v>
      </c>
      <c r="D19" s="128">
        <v>102642302</v>
      </c>
      <c r="E19" s="128">
        <v>230377716</v>
      </c>
      <c r="F19" s="128">
        <v>20174495</v>
      </c>
      <c r="G19" s="128">
        <v>34682374</v>
      </c>
      <c r="H19" s="126"/>
      <c r="I19" s="126"/>
      <c r="J19" s="126"/>
      <c r="K19" s="126"/>
      <c r="L19" s="126"/>
      <c r="M19" s="127"/>
      <c r="N19" s="124"/>
      <c r="O19" s="124"/>
      <c r="P19" s="124"/>
      <c r="Q19" s="124"/>
      <c r="R19" s="124"/>
      <c r="S19" s="124"/>
      <c r="T19" s="121"/>
    </row>
    <row r="20" spans="1:20" ht="15" x14ac:dyDescent="0.25">
      <c r="B20" s="129">
        <f t="shared" ref="B20:G20" si="16">B19-B16</f>
        <v>154245515.32028401</v>
      </c>
      <c r="C20" s="129">
        <f t="shared" si="16"/>
        <v>-9.9999964237213135E-2</v>
      </c>
      <c r="D20" s="129">
        <f t="shared" si="16"/>
        <v>0.13625001907348633</v>
      </c>
      <c r="E20" s="129">
        <f t="shared" si="16"/>
        <v>154245514.977649</v>
      </c>
      <c r="F20" s="129">
        <f t="shared" si="16"/>
        <v>0.33099500089883804</v>
      </c>
      <c r="G20" s="129">
        <f t="shared" si="16"/>
        <v>-2.4609997868537903E-2</v>
      </c>
      <c r="N20" s="92">
        <f>SUM(N4:N9)</f>
        <v>478557178.6997146</v>
      </c>
    </row>
    <row r="21" spans="1:20" x14ac:dyDescent="0.2">
      <c r="A21" t="s">
        <v>332</v>
      </c>
      <c r="B21" s="92">
        <f>C21+D21+E21+F21+G21</f>
        <v>439387547</v>
      </c>
      <c r="C21" s="92">
        <f>C19</f>
        <v>205756175</v>
      </c>
      <c r="D21" s="92">
        <f>D19</f>
        <v>102642302</v>
      </c>
      <c r="E21" s="92">
        <f>E19-E52</f>
        <v>76132201</v>
      </c>
      <c r="F21" s="92">
        <f>F19</f>
        <v>20174495</v>
      </c>
      <c r="G21" s="92">
        <f>G19</f>
        <v>34682374</v>
      </c>
      <c r="H21" s="92"/>
      <c r="N21" s="92">
        <f>SUM(N10:N15)</f>
        <v>445081382.3373909</v>
      </c>
    </row>
    <row r="22" spans="1:20" x14ac:dyDescent="0.2">
      <c r="B22" s="130"/>
      <c r="C22" s="92"/>
      <c r="D22" s="92"/>
      <c r="E22" s="92"/>
      <c r="F22" s="92"/>
      <c r="G22" s="92"/>
      <c r="H22" s="92"/>
      <c r="N22" s="92"/>
    </row>
    <row r="23" spans="1:20" x14ac:dyDescent="0.2">
      <c r="B23" s="131"/>
      <c r="C23" s="92"/>
      <c r="D23" s="92"/>
      <c r="E23" s="92"/>
      <c r="F23" s="92"/>
      <c r="G23" s="92"/>
      <c r="H23" s="92"/>
      <c r="M23" t="s">
        <v>333</v>
      </c>
      <c r="N23" s="92">
        <f>N4+N5+N6</f>
        <v>276014017.62111431</v>
      </c>
    </row>
    <row r="24" spans="1:20" x14ac:dyDescent="0.2">
      <c r="B24" s="92"/>
      <c r="C24" s="92"/>
      <c r="D24" s="92"/>
      <c r="E24" s="92"/>
      <c r="F24" s="92"/>
      <c r="G24" s="92"/>
      <c r="H24" s="92"/>
      <c r="M24" t="s">
        <v>334</v>
      </c>
      <c r="N24" s="92">
        <f>N23+N7+N8+N9</f>
        <v>478557178.6997146</v>
      </c>
    </row>
    <row r="25" spans="1:20" x14ac:dyDescent="0.2">
      <c r="B25" s="92"/>
      <c r="C25" s="92"/>
      <c r="D25" s="92"/>
      <c r="E25" s="92"/>
      <c r="F25" s="92"/>
      <c r="G25" s="92"/>
      <c r="H25" s="92"/>
      <c r="M25" t="s">
        <v>335</v>
      </c>
      <c r="N25" s="92">
        <f>N24+N10+N11+N12</f>
        <v>662071753.16782391</v>
      </c>
    </row>
    <row r="26" spans="1:20" x14ac:dyDescent="0.2">
      <c r="B26" s="92"/>
      <c r="C26" s="92"/>
      <c r="D26" s="92"/>
      <c r="E26" s="92"/>
      <c r="F26" s="92"/>
      <c r="G26" s="92"/>
      <c r="H26" s="92"/>
      <c r="M26" t="s">
        <v>336</v>
      </c>
      <c r="N26" s="92">
        <f>N25+N13+N14+N15</f>
        <v>923638561.03710544</v>
      </c>
    </row>
    <row r="27" spans="1:20" ht="15" x14ac:dyDescent="0.25">
      <c r="B27" s="132"/>
      <c r="C27" s="92"/>
      <c r="D27" s="92"/>
      <c r="E27" s="92"/>
      <c r="F27" s="133"/>
      <c r="G27" s="134"/>
      <c r="N27" s="92">
        <f>N26-N16</f>
        <v>0</v>
      </c>
    </row>
    <row r="28" spans="1:20" ht="15" x14ac:dyDescent="0.25">
      <c r="A28" s="135"/>
      <c r="B28" s="135" t="s">
        <v>303</v>
      </c>
      <c r="C28" s="135" t="s">
        <v>23</v>
      </c>
      <c r="F28" s="136"/>
      <c r="G28" s="134"/>
    </row>
    <row r="29" spans="1:20" ht="15" x14ac:dyDescent="0.25">
      <c r="A29" s="135" t="s">
        <v>300</v>
      </c>
      <c r="B29" s="137">
        <f>249885.739-E52/1000</f>
        <v>95640.223999999987</v>
      </c>
      <c r="C29" s="137">
        <f>(B29/$B$32*$N$16)/1000</f>
        <v>201045.74987562498</v>
      </c>
      <c r="D29" s="138"/>
      <c r="E29" s="138"/>
      <c r="F29" s="138"/>
      <c r="G29" s="134"/>
    </row>
    <row r="30" spans="1:20" ht="15" x14ac:dyDescent="0.25">
      <c r="A30" s="135" t="s">
        <v>305</v>
      </c>
      <c r="B30" s="137">
        <v>47382.335000000006</v>
      </c>
      <c r="C30" s="137">
        <f>(B30/$B$32*$N$16)/1000</f>
        <v>99602.621914949443</v>
      </c>
      <c r="D30" s="130"/>
      <c r="P30" s="92"/>
    </row>
    <row r="31" spans="1:20" ht="15" x14ac:dyDescent="0.25">
      <c r="A31" s="135" t="s">
        <v>337</v>
      </c>
      <c r="B31" s="137">
        <v>296364.98800000001</v>
      </c>
      <c r="C31" s="137">
        <f>(B31/$B$32*$N$16)/1000</f>
        <v>622990.18924653099</v>
      </c>
      <c r="D31" s="130"/>
      <c r="E31" s="92"/>
      <c r="F31" s="92"/>
      <c r="P31" s="92"/>
    </row>
    <row r="32" spans="1:20" ht="15" x14ac:dyDescent="0.25">
      <c r="A32" s="135"/>
      <c r="B32" s="139">
        <f>SUM(B29:B31)</f>
        <v>439387.54700000002</v>
      </c>
      <c r="C32" s="139">
        <f>SUM(C29:C31)</f>
        <v>923638.56103710539</v>
      </c>
      <c r="D32" s="130"/>
      <c r="E32" s="132"/>
      <c r="F32" s="132"/>
    </row>
    <row r="33" spans="1:14" ht="15" x14ac:dyDescent="0.25">
      <c r="A33" s="135"/>
      <c r="B33" s="140">
        <f>B32-B21/1000</f>
        <v>0</v>
      </c>
      <c r="C33" s="141">
        <f>N16/1000-C32</f>
        <v>0</v>
      </c>
      <c r="D33" s="121"/>
    </row>
    <row r="34" spans="1:14" ht="15" x14ac:dyDescent="0.25">
      <c r="B34" s="142"/>
      <c r="C34" s="143"/>
      <c r="D34" s="121"/>
      <c r="L34" t="s">
        <v>303</v>
      </c>
      <c r="M34" t="s">
        <v>365</v>
      </c>
      <c r="N34" t="s">
        <v>304</v>
      </c>
    </row>
    <row r="35" spans="1:14" ht="15" x14ac:dyDescent="0.25">
      <c r="B35" s="142"/>
      <c r="C35" s="143"/>
      <c r="D35" s="121"/>
      <c r="K35" t="s">
        <v>334</v>
      </c>
      <c r="L35" s="92">
        <f>SUM(B4:B9)/1000</f>
        <v>235970.06257055997</v>
      </c>
      <c r="M35" s="204">
        <f>N35/L35</f>
        <v>2028.0419197524941</v>
      </c>
      <c r="N35" s="92">
        <f>SUM(N4:N9)</f>
        <v>478557178.6997146</v>
      </c>
    </row>
    <row r="36" spans="1:14" x14ac:dyDescent="0.2">
      <c r="C36" s="92"/>
      <c r="K36" t="s">
        <v>366</v>
      </c>
      <c r="L36" s="92">
        <f>SUM(B10:B15)/1000</f>
        <v>203417.48410915598</v>
      </c>
      <c r="M36" s="204">
        <f>N36/L36</f>
        <v>2188.0193056490439</v>
      </c>
      <c r="N36" s="92">
        <f>SUM(N10:N15)</f>
        <v>445081382.3373909</v>
      </c>
    </row>
    <row r="37" spans="1:14" ht="15" x14ac:dyDescent="0.2">
      <c r="A37" s="284" t="s">
        <v>338</v>
      </c>
      <c r="B37" s="284" t="s">
        <v>308</v>
      </c>
      <c r="C37" s="284"/>
      <c r="D37" s="284"/>
      <c r="E37" s="284"/>
      <c r="F37" s="284"/>
      <c r="G37" s="284"/>
      <c r="L37" s="92">
        <f>L35+L36</f>
        <v>439387.54667971598</v>
      </c>
      <c r="M37" s="204">
        <f>N37/L37</f>
        <v>2102.104549882421</v>
      </c>
      <c r="N37" s="92">
        <f>N35+N36</f>
        <v>923638561.03710556</v>
      </c>
    </row>
    <row r="38" spans="1:14" x14ac:dyDescent="0.2">
      <c r="A38" s="284"/>
      <c r="B38" s="285" t="s">
        <v>311</v>
      </c>
      <c r="C38" s="285"/>
      <c r="D38" s="285"/>
      <c r="E38" s="285"/>
      <c r="F38" s="285"/>
      <c r="G38" s="284" t="s">
        <v>312</v>
      </c>
    </row>
    <row r="39" spans="1:14" x14ac:dyDescent="0.2">
      <c r="A39" s="284"/>
      <c r="B39" s="85" t="s">
        <v>313</v>
      </c>
      <c r="C39" s="85" t="s">
        <v>314</v>
      </c>
      <c r="D39" s="85" t="s">
        <v>315</v>
      </c>
      <c r="E39" s="85" t="s">
        <v>316</v>
      </c>
      <c r="F39" s="85" t="s">
        <v>317</v>
      </c>
      <c r="G39" s="284"/>
    </row>
    <row r="40" spans="1:14" x14ac:dyDescent="0.2">
      <c r="A40" s="87" t="s">
        <v>318</v>
      </c>
      <c r="B40" s="144"/>
      <c r="C40" s="144"/>
      <c r="D40" s="144"/>
      <c r="E40" s="145">
        <v>13326067</v>
      </c>
      <c r="F40" s="144"/>
      <c r="G40" s="144"/>
    </row>
    <row r="41" spans="1:14" x14ac:dyDescent="0.2">
      <c r="A41" s="87" t="s">
        <v>319</v>
      </c>
      <c r="B41" s="144"/>
      <c r="C41" s="144"/>
      <c r="D41" s="144"/>
      <c r="E41" s="145">
        <v>12498436</v>
      </c>
      <c r="F41" s="144"/>
      <c r="G41" s="144"/>
    </row>
    <row r="42" spans="1:14" x14ac:dyDescent="0.2">
      <c r="A42" s="87" t="s">
        <v>320</v>
      </c>
      <c r="B42" s="144"/>
      <c r="C42" s="144"/>
      <c r="D42" s="144"/>
      <c r="E42" s="145">
        <v>13180681</v>
      </c>
      <c r="F42" s="144"/>
      <c r="G42" s="144"/>
    </row>
    <row r="43" spans="1:14" x14ac:dyDescent="0.2">
      <c r="A43" s="87" t="s">
        <v>321</v>
      </c>
      <c r="B43" s="144"/>
      <c r="C43" s="144"/>
      <c r="D43" s="144"/>
      <c r="E43" s="145">
        <v>12509352</v>
      </c>
      <c r="F43" s="144"/>
      <c r="G43" s="144"/>
    </row>
    <row r="44" spans="1:14" x14ac:dyDescent="0.2">
      <c r="A44" s="87" t="s">
        <v>322</v>
      </c>
      <c r="B44" s="144"/>
      <c r="C44" s="144"/>
      <c r="D44" s="144"/>
      <c r="E44" s="145">
        <v>12399846</v>
      </c>
      <c r="F44" s="144"/>
      <c r="G44" s="144"/>
    </row>
    <row r="45" spans="1:14" x14ac:dyDescent="0.2">
      <c r="A45" s="87" t="s">
        <v>323</v>
      </c>
      <c r="B45" s="144"/>
      <c r="C45" s="144"/>
      <c r="D45" s="144"/>
      <c r="E45" s="145">
        <v>12214833</v>
      </c>
      <c r="F45" s="144"/>
      <c r="G45" s="144"/>
    </row>
    <row r="46" spans="1:14" x14ac:dyDescent="0.2">
      <c r="A46" s="146" t="s">
        <v>324</v>
      </c>
      <c r="B46" s="144"/>
      <c r="C46" s="144"/>
      <c r="D46" s="144"/>
      <c r="E46" s="145">
        <v>12867116</v>
      </c>
      <c r="F46" s="144"/>
      <c r="G46" s="144"/>
    </row>
    <row r="47" spans="1:14" x14ac:dyDescent="0.2">
      <c r="A47" s="146" t="s">
        <v>325</v>
      </c>
      <c r="B47" s="144"/>
      <c r="C47" s="144"/>
      <c r="D47" s="144"/>
      <c r="E47" s="145">
        <v>13378078</v>
      </c>
      <c r="F47" s="144"/>
      <c r="G47" s="144"/>
    </row>
    <row r="48" spans="1:14" x14ac:dyDescent="0.2">
      <c r="A48" s="146" t="s">
        <v>326</v>
      </c>
      <c r="B48" s="144"/>
      <c r="C48" s="144"/>
      <c r="D48" s="144"/>
      <c r="E48" s="145">
        <v>12291053</v>
      </c>
      <c r="F48" s="144"/>
      <c r="G48" s="144"/>
    </row>
    <row r="49" spans="1:7" x14ac:dyDescent="0.2">
      <c r="A49" s="146" t="s">
        <v>327</v>
      </c>
      <c r="B49" s="144"/>
      <c r="C49" s="144"/>
      <c r="D49" s="144"/>
      <c r="E49" s="145">
        <v>13315569</v>
      </c>
      <c r="F49" s="144"/>
      <c r="G49" s="144"/>
    </row>
    <row r="50" spans="1:7" x14ac:dyDescent="0.2">
      <c r="A50" s="146" t="s">
        <v>328</v>
      </c>
      <c r="B50" s="144"/>
      <c r="C50" s="144"/>
      <c r="D50" s="144"/>
      <c r="E50" s="145">
        <v>13165546</v>
      </c>
      <c r="F50" s="144"/>
      <c r="G50" s="144"/>
    </row>
    <row r="51" spans="1:7" x14ac:dyDescent="0.2">
      <c r="A51" s="146" t="s">
        <v>329</v>
      </c>
      <c r="B51" s="144"/>
      <c r="C51" s="144"/>
      <c r="D51" s="144"/>
      <c r="E51" s="145">
        <v>13098938</v>
      </c>
      <c r="F51" s="144"/>
      <c r="G51" s="144"/>
    </row>
    <row r="52" spans="1:7" ht="15" x14ac:dyDescent="0.25">
      <c r="A52" s="147" t="s">
        <v>330</v>
      </c>
      <c r="B52" s="144"/>
      <c r="C52" s="144"/>
      <c r="D52" s="144"/>
      <c r="E52" s="148">
        <f>SUM(E40:E51)</f>
        <v>154245515</v>
      </c>
      <c r="F52" s="144"/>
      <c r="G52" s="144"/>
    </row>
    <row r="53" spans="1:7" x14ac:dyDescent="0.2">
      <c r="E53" s="149"/>
    </row>
    <row r="54" spans="1:7" x14ac:dyDescent="0.2">
      <c r="E54" s="92"/>
    </row>
  </sheetData>
  <mergeCells count="14">
    <mergeCell ref="H1:M1"/>
    <mergeCell ref="N1:S1"/>
    <mergeCell ref="B2:F2"/>
    <mergeCell ref="G2:G3"/>
    <mergeCell ref="H2:L2"/>
    <mergeCell ref="M2:M3"/>
    <mergeCell ref="N2:R2"/>
    <mergeCell ref="S2:S3"/>
    <mergeCell ref="A37:A39"/>
    <mergeCell ref="B37:G37"/>
    <mergeCell ref="B38:F38"/>
    <mergeCell ref="G38:G39"/>
    <mergeCell ref="A1:A3"/>
    <mergeCell ref="B1:G1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40"/>
  <sheetViews>
    <sheetView view="pageBreakPreview" zoomScale="90" zoomScaleNormal="100" zoomScaleSheetLayoutView="90" workbookViewId="0">
      <selection activeCell="F33" sqref="F33"/>
    </sheetView>
  </sheetViews>
  <sheetFormatPr defaultRowHeight="12.75" outlineLevelCol="1" x14ac:dyDescent="0.2"/>
  <cols>
    <col min="1" max="2" width="13" customWidth="1"/>
    <col min="3" max="5" width="12" bestFit="1" customWidth="1"/>
    <col min="6" max="6" width="10.85546875" bestFit="1" customWidth="1"/>
    <col min="7" max="7" width="12.28515625" customWidth="1"/>
    <col min="8" max="8" width="11.140625" customWidth="1" outlineLevel="1"/>
    <col min="9" max="12" width="9.28515625" customWidth="1" outlineLevel="1"/>
    <col min="13" max="13" width="13.7109375" customWidth="1" outlineLevel="1"/>
    <col min="14" max="14" width="14.140625" customWidth="1" outlineLevel="1"/>
    <col min="15" max="15" width="13.140625" customWidth="1" outlineLevel="1"/>
    <col min="16" max="16" width="12" customWidth="1" outlineLevel="1"/>
    <col min="17" max="18" width="11.85546875" customWidth="1" outlineLevel="1"/>
    <col min="19" max="19" width="11" customWidth="1" outlineLevel="1"/>
  </cols>
  <sheetData>
    <row r="1" spans="1:20" ht="15" x14ac:dyDescent="0.2">
      <c r="A1" s="284" t="s">
        <v>307</v>
      </c>
      <c r="B1" s="284" t="s">
        <v>308</v>
      </c>
      <c r="C1" s="284"/>
      <c r="D1" s="284"/>
      <c r="E1" s="284"/>
      <c r="F1" s="284"/>
      <c r="G1" s="284"/>
      <c r="H1" s="284" t="s">
        <v>309</v>
      </c>
      <c r="I1" s="284"/>
      <c r="J1" s="284"/>
      <c r="K1" s="284"/>
      <c r="L1" s="284"/>
      <c r="M1" s="284"/>
      <c r="N1" s="284" t="s">
        <v>310</v>
      </c>
      <c r="O1" s="284"/>
      <c r="P1" s="284"/>
      <c r="Q1" s="284"/>
      <c r="R1" s="284"/>
      <c r="S1" s="284"/>
    </row>
    <row r="2" spans="1:20" x14ac:dyDescent="0.2">
      <c r="A2" s="284"/>
      <c r="B2" s="285" t="s">
        <v>311</v>
      </c>
      <c r="C2" s="285"/>
      <c r="D2" s="285"/>
      <c r="E2" s="285"/>
      <c r="F2" s="285"/>
      <c r="G2" s="284" t="s">
        <v>312</v>
      </c>
      <c r="H2" s="284" t="s">
        <v>311</v>
      </c>
      <c r="I2" s="284"/>
      <c r="J2" s="284"/>
      <c r="K2" s="284"/>
      <c r="L2" s="284"/>
      <c r="M2" s="284" t="s">
        <v>312</v>
      </c>
      <c r="N2" s="284" t="s">
        <v>311</v>
      </c>
      <c r="O2" s="284"/>
      <c r="P2" s="284"/>
      <c r="Q2" s="284"/>
      <c r="R2" s="284"/>
      <c r="S2" s="284" t="s">
        <v>312</v>
      </c>
    </row>
    <row r="3" spans="1:20" x14ac:dyDescent="0.2">
      <c r="A3" s="284"/>
      <c r="B3" s="85" t="s">
        <v>313</v>
      </c>
      <c r="C3" s="85" t="s">
        <v>314</v>
      </c>
      <c r="D3" s="85" t="s">
        <v>315</v>
      </c>
      <c r="E3" s="85" t="s">
        <v>316</v>
      </c>
      <c r="F3" s="85" t="s">
        <v>317</v>
      </c>
      <c r="G3" s="284"/>
      <c r="H3" s="86" t="s">
        <v>313</v>
      </c>
      <c r="I3" s="85" t="s">
        <v>314</v>
      </c>
      <c r="J3" s="85" t="s">
        <v>315</v>
      </c>
      <c r="K3" s="85" t="s">
        <v>316</v>
      </c>
      <c r="L3" s="85" t="s">
        <v>317</v>
      </c>
      <c r="M3" s="284"/>
      <c r="N3" s="86" t="s">
        <v>313</v>
      </c>
      <c r="O3" s="85" t="s">
        <v>314</v>
      </c>
      <c r="P3" s="85" t="s">
        <v>315</v>
      </c>
      <c r="Q3" s="85" t="s">
        <v>316</v>
      </c>
      <c r="R3" s="85" t="s">
        <v>317</v>
      </c>
      <c r="S3" s="284"/>
    </row>
    <row r="4" spans="1:20" ht="15" x14ac:dyDescent="0.25">
      <c r="A4" s="87" t="s">
        <v>318</v>
      </c>
      <c r="B4" s="88">
        <f>SUM(C4:G4)</f>
        <v>47522819.349870004</v>
      </c>
      <c r="C4" s="88">
        <f>'[1]2024 перед'!C4</f>
        <v>21638718.300000001</v>
      </c>
      <c r="D4" s="88">
        <f>'[1]2024 перед'!D4</f>
        <v>11377573.1667</v>
      </c>
      <c r="E4" s="88">
        <f>'[1]2024 перед'!E4</f>
        <v>8907104.7318199985</v>
      </c>
      <c r="F4" s="88">
        <f>'[1]2024 перед'!F4</f>
        <v>2244618.5472499998</v>
      </c>
      <c r="G4" s="88">
        <f>'[1]2024 перед'!G4</f>
        <v>3354804.6040999996</v>
      </c>
      <c r="H4" s="150">
        <f>ROUND(N4/B4,5)</f>
        <v>0.09</v>
      </c>
      <c r="I4" s="89">
        <v>0.09</v>
      </c>
      <c r="J4" s="89">
        <v>0.09</v>
      </c>
      <c r="K4" s="89">
        <v>0.09</v>
      </c>
      <c r="L4" s="89">
        <v>0.09</v>
      </c>
      <c r="M4" s="151">
        <v>0.09</v>
      </c>
      <c r="N4" s="91">
        <f>SUM(O4:S4)</f>
        <v>4277053.7414882993</v>
      </c>
      <c r="O4" s="91">
        <f t="shared" ref="O4:S15" si="0">C4*I4</f>
        <v>1947484.6469999999</v>
      </c>
      <c r="P4" s="91">
        <f t="shared" si="0"/>
        <v>1023981.585003</v>
      </c>
      <c r="Q4" s="91">
        <f t="shared" si="0"/>
        <v>801639.42586379987</v>
      </c>
      <c r="R4" s="91">
        <f t="shared" si="0"/>
        <v>202015.66925249997</v>
      </c>
      <c r="S4" s="91">
        <f t="shared" si="0"/>
        <v>301932.41436899995</v>
      </c>
      <c r="T4" s="92"/>
    </row>
    <row r="5" spans="1:20" ht="15" x14ac:dyDescent="0.25">
      <c r="A5" s="87" t="s">
        <v>319</v>
      </c>
      <c r="B5" s="88">
        <f t="shared" ref="B5:B15" si="1">SUM(C5:G5)</f>
        <v>45147799.601589993</v>
      </c>
      <c r="C5" s="88">
        <f>'[1]2024 перед'!C5</f>
        <v>19775621.5</v>
      </c>
      <c r="D5" s="88">
        <f>'[1]2024 перед'!D5</f>
        <v>10689591.658</v>
      </c>
      <c r="E5" s="88">
        <f>'[1]2024 перед'!E5</f>
        <v>9182235.1937800013</v>
      </c>
      <c r="F5" s="88">
        <f>'[1]2024 перед'!F5</f>
        <v>2069397.4856999998</v>
      </c>
      <c r="G5" s="88">
        <f>'[1]2024 перед'!G5</f>
        <v>3430953.7641099994</v>
      </c>
      <c r="H5" s="150">
        <f t="shared" ref="H5:H16" si="2">ROUND(N5/B5,5)</f>
        <v>0.09</v>
      </c>
      <c r="I5" s="89">
        <f>$I$4</f>
        <v>0.09</v>
      </c>
      <c r="J5" s="89">
        <f>$J$4</f>
        <v>0.09</v>
      </c>
      <c r="K5" s="89">
        <f>$K$4</f>
        <v>0.09</v>
      </c>
      <c r="L5" s="89">
        <f>$L$4</f>
        <v>0.09</v>
      </c>
      <c r="M5" s="151">
        <f>$M$4</f>
        <v>0.09</v>
      </c>
      <c r="N5" s="91">
        <f t="shared" ref="N5:N15" si="3">SUM(O5:S5)</f>
        <v>4063301.9641431002</v>
      </c>
      <c r="O5" s="91">
        <f t="shared" si="0"/>
        <v>1779805.9349999998</v>
      </c>
      <c r="P5" s="91">
        <f t="shared" si="0"/>
        <v>962063.24922</v>
      </c>
      <c r="Q5" s="91">
        <f t="shared" si="0"/>
        <v>826401.16744020011</v>
      </c>
      <c r="R5" s="91">
        <f t="shared" si="0"/>
        <v>186245.77371299997</v>
      </c>
      <c r="S5" s="91">
        <f t="shared" si="0"/>
        <v>308785.83876989991</v>
      </c>
      <c r="T5" s="92"/>
    </row>
    <row r="6" spans="1:20" ht="15" x14ac:dyDescent="0.25">
      <c r="A6" s="87" t="s">
        <v>320</v>
      </c>
      <c r="B6" s="88">
        <f>SUM(C6:G6)</f>
        <v>41871776.092949994</v>
      </c>
      <c r="C6" s="88">
        <f>'[1]2024 перед'!C6</f>
        <v>19424502.100000001</v>
      </c>
      <c r="D6" s="88">
        <f>'[1]2024 перед'!D6</f>
        <v>10559783.704499999</v>
      </c>
      <c r="E6" s="88">
        <f>'[1]2024 перед'!E6</f>
        <v>7161618.8217899986</v>
      </c>
      <c r="F6" s="88">
        <f>'[1]2024 перед'!F6</f>
        <v>1858727.5613699998</v>
      </c>
      <c r="G6" s="88">
        <f>'[1]2024 перед'!G6</f>
        <v>2867143.9052899997</v>
      </c>
      <c r="H6" s="150">
        <f t="shared" si="2"/>
        <v>0.09</v>
      </c>
      <c r="I6" s="89">
        <f t="shared" ref="I6:I15" si="4">$I$4</f>
        <v>0.09</v>
      </c>
      <c r="J6" s="89">
        <f t="shared" ref="J6:J15" si="5">$J$4</f>
        <v>0.09</v>
      </c>
      <c r="K6" s="89">
        <f t="shared" ref="K6:K15" si="6">$K$4</f>
        <v>0.09</v>
      </c>
      <c r="L6" s="89">
        <f t="shared" ref="L6:L15" si="7">$L$4</f>
        <v>0.09</v>
      </c>
      <c r="M6" s="151">
        <f t="shared" ref="M6:M15" si="8">$M$4</f>
        <v>0.09</v>
      </c>
      <c r="N6" s="91">
        <f t="shared" si="3"/>
        <v>3768459.8483654992</v>
      </c>
      <c r="O6" s="91">
        <f t="shared" si="0"/>
        <v>1748205.189</v>
      </c>
      <c r="P6" s="91">
        <f t="shared" si="0"/>
        <v>950380.53340499988</v>
      </c>
      <c r="Q6" s="91">
        <f t="shared" si="0"/>
        <v>644545.69396109984</v>
      </c>
      <c r="R6" s="91">
        <f t="shared" si="0"/>
        <v>167285.48052329998</v>
      </c>
      <c r="S6" s="91">
        <f t="shared" si="0"/>
        <v>258042.95147609996</v>
      </c>
      <c r="T6" s="92"/>
    </row>
    <row r="7" spans="1:20" ht="15" x14ac:dyDescent="0.25">
      <c r="A7" s="87" t="s">
        <v>321</v>
      </c>
      <c r="B7" s="88">
        <f t="shared" si="1"/>
        <v>39588771.640749998</v>
      </c>
      <c r="C7" s="88">
        <f>'[1]2024 перед'!C7</f>
        <v>18757765.800000001</v>
      </c>
      <c r="D7" s="88">
        <f>'[1]2024 перед'!D7</f>
        <v>9202524.1731000002</v>
      </c>
      <c r="E7" s="88">
        <f>'[1]2024 перед'!E7</f>
        <v>6782444.6131500006</v>
      </c>
      <c r="F7" s="88">
        <f>'[1]2024 перед'!F7</f>
        <v>1700473.4667099998</v>
      </c>
      <c r="G7" s="88">
        <f>'[1]2024 перед'!G7</f>
        <v>3145563.5877899998</v>
      </c>
      <c r="H7" s="150">
        <f t="shared" si="2"/>
        <v>0.09</v>
      </c>
      <c r="I7" s="89">
        <f t="shared" si="4"/>
        <v>0.09</v>
      </c>
      <c r="J7" s="89">
        <f t="shared" si="5"/>
        <v>0.09</v>
      </c>
      <c r="K7" s="89">
        <f t="shared" si="6"/>
        <v>0.09</v>
      </c>
      <c r="L7" s="89">
        <f t="shared" si="7"/>
        <v>0.09</v>
      </c>
      <c r="M7" s="151">
        <f t="shared" si="8"/>
        <v>0.09</v>
      </c>
      <c r="N7" s="91">
        <f t="shared" si="3"/>
        <v>3562989.4476675</v>
      </c>
      <c r="O7" s="91">
        <f t="shared" si="0"/>
        <v>1688198.922</v>
      </c>
      <c r="P7" s="91">
        <f t="shared" si="0"/>
        <v>828227.17557900003</v>
      </c>
      <c r="Q7" s="91">
        <f t="shared" si="0"/>
        <v>610420.01518350001</v>
      </c>
      <c r="R7" s="91">
        <f t="shared" si="0"/>
        <v>153042.61200389997</v>
      </c>
      <c r="S7" s="91">
        <f t="shared" si="0"/>
        <v>283100.72290109994</v>
      </c>
      <c r="T7" s="92"/>
    </row>
    <row r="8" spans="1:20" ht="15" x14ac:dyDescent="0.25">
      <c r="A8" s="87" t="s">
        <v>322</v>
      </c>
      <c r="B8" s="88">
        <f>SUM(C8:G8)</f>
        <v>32841165.34172</v>
      </c>
      <c r="C8" s="88">
        <f>'[1]2024 перед'!C8</f>
        <v>15656145.800000001</v>
      </c>
      <c r="D8" s="88">
        <f>'[1]2024 перед'!D8</f>
        <v>7379270.5447000004</v>
      </c>
      <c r="E8" s="88">
        <f>'[1]2024 перед'!E8</f>
        <v>5580669.8096700013</v>
      </c>
      <c r="F8" s="88">
        <f>'[1]2024 перед'!F8</f>
        <v>1527900.36054</v>
      </c>
      <c r="G8" s="88">
        <f>'[1]2024 перед'!G8</f>
        <v>2697178.82681</v>
      </c>
      <c r="H8" s="150">
        <f t="shared" si="2"/>
        <v>0.09</v>
      </c>
      <c r="I8" s="89">
        <f t="shared" si="4"/>
        <v>0.09</v>
      </c>
      <c r="J8" s="89">
        <f t="shared" si="5"/>
        <v>0.09</v>
      </c>
      <c r="K8" s="89">
        <f t="shared" si="6"/>
        <v>0.09</v>
      </c>
      <c r="L8" s="89">
        <f t="shared" si="7"/>
        <v>0.09</v>
      </c>
      <c r="M8" s="151">
        <f t="shared" si="8"/>
        <v>0.09</v>
      </c>
      <c r="N8" s="91">
        <f t="shared" si="3"/>
        <v>2955704.8807548</v>
      </c>
      <c r="O8" s="91">
        <f t="shared" si="0"/>
        <v>1409053.122</v>
      </c>
      <c r="P8" s="91">
        <f t="shared" si="0"/>
        <v>664134.34902299999</v>
      </c>
      <c r="Q8" s="91">
        <f t="shared" si="0"/>
        <v>502260.28287030011</v>
      </c>
      <c r="R8" s="91">
        <f t="shared" si="0"/>
        <v>137511.03244859999</v>
      </c>
      <c r="S8" s="91">
        <f t="shared" si="0"/>
        <v>242746.09441289998</v>
      </c>
      <c r="T8" s="92"/>
    </row>
    <row r="9" spans="1:20" ht="15.75" thickBot="1" x14ac:dyDescent="0.3">
      <c r="A9" s="93" t="s">
        <v>323</v>
      </c>
      <c r="B9" s="94">
        <f t="shared" si="1"/>
        <v>28997730.543680005</v>
      </c>
      <c r="C9" s="94">
        <f>'[1]2024 перед'!C9</f>
        <v>15149595.000000002</v>
      </c>
      <c r="D9" s="94">
        <f>'[1]2024 перед'!D9</f>
        <v>6059974.4936000006</v>
      </c>
      <c r="E9" s="94">
        <f>'[1]2024 перед'!E9</f>
        <v>4079061.3999899998</v>
      </c>
      <c r="F9" s="94">
        <f>'[1]2024 перед'!F9</f>
        <v>1348573.0252099999</v>
      </c>
      <c r="G9" s="94">
        <f>'[1]2024 перед'!G9</f>
        <v>2360526.62488</v>
      </c>
      <c r="H9" s="152">
        <f t="shared" si="2"/>
        <v>0.09</v>
      </c>
      <c r="I9" s="95">
        <f t="shared" si="4"/>
        <v>0.09</v>
      </c>
      <c r="J9" s="89">
        <f t="shared" si="5"/>
        <v>0.09</v>
      </c>
      <c r="K9" s="95">
        <f t="shared" si="6"/>
        <v>0.09</v>
      </c>
      <c r="L9" s="89">
        <f t="shared" si="7"/>
        <v>0.09</v>
      </c>
      <c r="M9" s="153">
        <f t="shared" si="8"/>
        <v>0.09</v>
      </c>
      <c r="N9" s="97">
        <f t="shared" si="3"/>
        <v>2609795.7489312002</v>
      </c>
      <c r="O9" s="97">
        <f t="shared" si="0"/>
        <v>1363463.55</v>
      </c>
      <c r="P9" s="97">
        <f t="shared" si="0"/>
        <v>545397.704424</v>
      </c>
      <c r="Q9" s="97">
        <f t="shared" si="0"/>
        <v>367115.52599909995</v>
      </c>
      <c r="R9" s="97">
        <f t="shared" si="0"/>
        <v>121371.57226889998</v>
      </c>
      <c r="S9" s="97">
        <f t="shared" si="0"/>
        <v>212447.3962392</v>
      </c>
      <c r="T9" s="92"/>
    </row>
    <row r="10" spans="1:20" ht="15" x14ac:dyDescent="0.25">
      <c r="A10" s="98" t="s">
        <v>324</v>
      </c>
      <c r="B10" s="99">
        <f t="shared" si="1"/>
        <v>26721462.600000001</v>
      </c>
      <c r="C10" s="99">
        <f>'[1]2024 перед'!C10</f>
        <v>14637004.01</v>
      </c>
      <c r="D10" s="99">
        <f>'[1]2024 перед'!D10</f>
        <v>5771397.0005999999</v>
      </c>
      <c r="E10" s="99">
        <f>'[1]2024 перед'!E10</f>
        <v>2808034.5683600008</v>
      </c>
      <c r="F10" s="99">
        <f>'[1]2024 перед'!F10</f>
        <v>1158445.8093099999</v>
      </c>
      <c r="G10" s="99">
        <f>'[1]2024 перед'!G10</f>
        <v>2346581.2117299992</v>
      </c>
      <c r="H10" s="154">
        <f t="shared" si="2"/>
        <v>0.09</v>
      </c>
      <c r="I10" s="100">
        <f t="shared" si="4"/>
        <v>0.09</v>
      </c>
      <c r="J10" s="100">
        <f t="shared" si="5"/>
        <v>0.09</v>
      </c>
      <c r="K10" s="100">
        <f t="shared" si="6"/>
        <v>0.09</v>
      </c>
      <c r="L10" s="100">
        <f t="shared" si="7"/>
        <v>0.09</v>
      </c>
      <c r="M10" s="155">
        <f t="shared" si="8"/>
        <v>0.09</v>
      </c>
      <c r="N10" s="102">
        <f t="shared" si="3"/>
        <v>2404931.6340000001</v>
      </c>
      <c r="O10" s="102">
        <f t="shared" si="0"/>
        <v>1317330.3609</v>
      </c>
      <c r="P10" s="102">
        <f t="shared" si="0"/>
        <v>519425.73005399999</v>
      </c>
      <c r="Q10" s="102">
        <f t="shared" si="0"/>
        <v>252723.11115240006</v>
      </c>
      <c r="R10" s="102">
        <f t="shared" si="0"/>
        <v>104260.12283789999</v>
      </c>
      <c r="S10" s="103">
        <f t="shared" si="0"/>
        <v>211192.30905569991</v>
      </c>
      <c r="T10" s="92"/>
    </row>
    <row r="11" spans="1:20" ht="15" x14ac:dyDescent="0.25">
      <c r="A11" s="104" t="s">
        <v>325</v>
      </c>
      <c r="B11" s="105">
        <f t="shared" si="1"/>
        <v>28867387.638410002</v>
      </c>
      <c r="C11" s="105">
        <f>'[1]2024 перед'!C11</f>
        <v>15865750.489999998</v>
      </c>
      <c r="D11" s="105">
        <f>'[1]2024 перед'!D11</f>
        <v>4913744.8825100008</v>
      </c>
      <c r="E11" s="105">
        <f>'[1]2024 перед'!E11</f>
        <v>3660514.9712000005</v>
      </c>
      <c r="F11" s="105">
        <f>'[1]2024 перед'!F11</f>
        <v>1433633.0849699997</v>
      </c>
      <c r="G11" s="105">
        <f>'[1]2024 перед'!G11</f>
        <v>2993744.2097299998</v>
      </c>
      <c r="H11" s="156">
        <f t="shared" si="2"/>
        <v>0.09</v>
      </c>
      <c r="I11" s="106">
        <f t="shared" si="4"/>
        <v>0.09</v>
      </c>
      <c r="J11" s="106">
        <f t="shared" si="5"/>
        <v>0.09</v>
      </c>
      <c r="K11" s="106">
        <f t="shared" si="6"/>
        <v>0.09</v>
      </c>
      <c r="L11" s="106">
        <f t="shared" si="7"/>
        <v>0.09</v>
      </c>
      <c r="M11" s="157">
        <f t="shared" si="8"/>
        <v>0.09</v>
      </c>
      <c r="N11" s="108">
        <f t="shared" si="3"/>
        <v>2598064.8874568995</v>
      </c>
      <c r="O11" s="108">
        <f t="shared" si="0"/>
        <v>1427917.5440999998</v>
      </c>
      <c r="P11" s="108">
        <f t="shared" si="0"/>
        <v>442237.03942590003</v>
      </c>
      <c r="Q11" s="108">
        <f t="shared" si="0"/>
        <v>329446.34740800003</v>
      </c>
      <c r="R11" s="108">
        <f t="shared" si="0"/>
        <v>129026.97764729997</v>
      </c>
      <c r="S11" s="109">
        <f t="shared" si="0"/>
        <v>269436.97887569998</v>
      </c>
      <c r="T11" s="92"/>
    </row>
    <row r="12" spans="1:20" ht="15" x14ac:dyDescent="0.25">
      <c r="A12" s="104" t="s">
        <v>326</v>
      </c>
      <c r="B12" s="105">
        <f t="shared" si="1"/>
        <v>31697070.286720999</v>
      </c>
      <c r="C12" s="105">
        <f>'[1]2024 перед'!C12</f>
        <v>15538051.6</v>
      </c>
      <c r="D12" s="105">
        <f>'[1]2024 перед'!D12</f>
        <v>7740009.6112900004</v>
      </c>
      <c r="E12" s="105">
        <f>'[1]2024 перед'!E12</f>
        <v>4387325.522961</v>
      </c>
      <c r="F12" s="105">
        <f>'[1]2024 перед'!F12</f>
        <v>1474263.9199000003</v>
      </c>
      <c r="G12" s="105">
        <f>'[1]2024 перед'!G12</f>
        <v>2557419.6325699999</v>
      </c>
      <c r="H12" s="156">
        <f t="shared" si="2"/>
        <v>0.09</v>
      </c>
      <c r="I12" s="106">
        <f t="shared" si="4"/>
        <v>0.09</v>
      </c>
      <c r="J12" s="106">
        <f t="shared" si="5"/>
        <v>0.09</v>
      </c>
      <c r="K12" s="106">
        <f t="shared" si="6"/>
        <v>0.09</v>
      </c>
      <c r="L12" s="106">
        <f t="shared" si="7"/>
        <v>0.09</v>
      </c>
      <c r="M12" s="157">
        <f t="shared" si="8"/>
        <v>0.09</v>
      </c>
      <c r="N12" s="108">
        <f t="shared" si="3"/>
        <v>2852736.3258048901</v>
      </c>
      <c r="O12" s="108">
        <f t="shared" si="0"/>
        <v>1398424.6439999999</v>
      </c>
      <c r="P12" s="108">
        <f t="shared" si="0"/>
        <v>696600.8650161</v>
      </c>
      <c r="Q12" s="108">
        <f t="shared" si="0"/>
        <v>394859.29706648999</v>
      </c>
      <c r="R12" s="108">
        <f t="shared" si="0"/>
        <v>132683.75279100004</v>
      </c>
      <c r="S12" s="109">
        <f t="shared" si="0"/>
        <v>230167.76693129999</v>
      </c>
      <c r="T12" s="92"/>
    </row>
    <row r="13" spans="1:20" ht="15" x14ac:dyDescent="0.25">
      <c r="A13" s="104" t="s">
        <v>327</v>
      </c>
      <c r="B13" s="105">
        <f t="shared" si="1"/>
        <v>34485464.249919996</v>
      </c>
      <c r="C13" s="105">
        <f>'[1]2024 перед'!C13</f>
        <v>15718720.1</v>
      </c>
      <c r="D13" s="105">
        <f>'[1]2024 перед'!D13</f>
        <v>7740277.3986099996</v>
      </c>
      <c r="E13" s="105">
        <f>'[1]2024 перед'!E13</f>
        <v>6208333.4604899995</v>
      </c>
      <c r="F13" s="105">
        <f>'[1]2024 перед'!F13</f>
        <v>1708718.13469</v>
      </c>
      <c r="G13" s="105">
        <f>'[1]2024 перед'!G13</f>
        <v>3109415.1561300005</v>
      </c>
      <c r="H13" s="156">
        <f t="shared" si="2"/>
        <v>0.09</v>
      </c>
      <c r="I13" s="106">
        <f t="shared" si="4"/>
        <v>0.09</v>
      </c>
      <c r="J13" s="106">
        <f t="shared" si="5"/>
        <v>0.09</v>
      </c>
      <c r="K13" s="106">
        <f t="shared" si="6"/>
        <v>0.09</v>
      </c>
      <c r="L13" s="106">
        <f t="shared" si="7"/>
        <v>0.09</v>
      </c>
      <c r="M13" s="157">
        <f t="shared" si="8"/>
        <v>0.09</v>
      </c>
      <c r="N13" s="108">
        <f t="shared" si="3"/>
        <v>3103691.7824927997</v>
      </c>
      <c r="O13" s="108">
        <f t="shared" si="0"/>
        <v>1414684.8089999999</v>
      </c>
      <c r="P13" s="108">
        <f t="shared" si="0"/>
        <v>696624.96587489988</v>
      </c>
      <c r="Q13" s="108">
        <f t="shared" si="0"/>
        <v>558750.01144409995</v>
      </c>
      <c r="R13" s="108">
        <f t="shared" si="0"/>
        <v>153784.63212209998</v>
      </c>
      <c r="S13" s="109">
        <f t="shared" si="0"/>
        <v>279847.36405170005</v>
      </c>
      <c r="T13" s="92"/>
    </row>
    <row r="14" spans="1:20" ht="15" x14ac:dyDescent="0.25">
      <c r="A14" s="104" t="s">
        <v>328</v>
      </c>
      <c r="B14" s="105">
        <f t="shared" si="1"/>
        <v>41714028.093654998</v>
      </c>
      <c r="C14" s="105">
        <f>'[1]2024 перед'!C14</f>
        <v>17065948.199999999</v>
      </c>
      <c r="D14" s="105">
        <f>'[1]2024 перед'!D14</f>
        <v>10335463.75299</v>
      </c>
      <c r="E14" s="105">
        <f>'[1]2024 перед'!E14</f>
        <v>9336390.87579</v>
      </c>
      <c r="F14" s="105">
        <f>'[1]2024 перед'!F14</f>
        <v>2046935.021835</v>
      </c>
      <c r="G14" s="105">
        <f>'[1]2024 перед'!G14</f>
        <v>2929290.2430400015</v>
      </c>
      <c r="H14" s="156">
        <f t="shared" si="2"/>
        <v>0.09</v>
      </c>
      <c r="I14" s="106">
        <f t="shared" si="4"/>
        <v>0.09</v>
      </c>
      <c r="J14" s="106">
        <f t="shared" si="5"/>
        <v>0.09</v>
      </c>
      <c r="K14" s="106">
        <f t="shared" si="6"/>
        <v>0.09</v>
      </c>
      <c r="L14" s="106">
        <f t="shared" si="7"/>
        <v>0.09</v>
      </c>
      <c r="M14" s="157">
        <f t="shared" si="8"/>
        <v>0.09</v>
      </c>
      <c r="N14" s="108">
        <f t="shared" si="3"/>
        <v>3754262.5284289499</v>
      </c>
      <c r="O14" s="108">
        <f t="shared" si="0"/>
        <v>1535935.338</v>
      </c>
      <c r="P14" s="108">
        <f t="shared" si="0"/>
        <v>930191.7377691</v>
      </c>
      <c r="Q14" s="108">
        <f t="shared" si="0"/>
        <v>840275.17882109992</v>
      </c>
      <c r="R14" s="108">
        <f t="shared" si="0"/>
        <v>184224.15196515</v>
      </c>
      <c r="S14" s="109">
        <f t="shared" si="0"/>
        <v>263636.12187360012</v>
      </c>
      <c r="T14" s="92"/>
    </row>
    <row r="15" spans="1:20" ht="15.75" thickBot="1" x14ac:dyDescent="0.3">
      <c r="A15" s="110" t="s">
        <v>329</v>
      </c>
      <c r="B15" s="111">
        <f t="shared" si="1"/>
        <v>39932071.240449995</v>
      </c>
      <c r="C15" s="111">
        <f>'[1]2024 перед'!C15</f>
        <v>16528352.200000001</v>
      </c>
      <c r="D15" s="111">
        <f>'[1]2024 перед'!D15</f>
        <v>10872691.477149997</v>
      </c>
      <c r="E15" s="111">
        <f>'[1]2024 перед'!E15</f>
        <v>8038467.0533500016</v>
      </c>
      <c r="F15" s="111">
        <f>'[1]2024 перед'!F15</f>
        <v>1602808.2515199999</v>
      </c>
      <c r="G15" s="111">
        <f>'[1]2024 перед'!G15</f>
        <v>2889752.2584300004</v>
      </c>
      <c r="H15" s="158">
        <f t="shared" si="2"/>
        <v>0.09</v>
      </c>
      <c r="I15" s="112">
        <f t="shared" si="4"/>
        <v>0.09</v>
      </c>
      <c r="J15" s="112">
        <f t="shared" si="5"/>
        <v>0.09</v>
      </c>
      <c r="K15" s="112">
        <f t="shared" si="6"/>
        <v>0.09</v>
      </c>
      <c r="L15" s="112">
        <f t="shared" si="7"/>
        <v>0.09</v>
      </c>
      <c r="M15" s="159">
        <f t="shared" si="8"/>
        <v>0.09</v>
      </c>
      <c r="N15" s="114">
        <f t="shared" si="3"/>
        <v>3593886.4116405002</v>
      </c>
      <c r="O15" s="114">
        <f t="shared" si="0"/>
        <v>1487551.6980000001</v>
      </c>
      <c r="P15" s="114">
        <f t="shared" si="0"/>
        <v>978542.23294349969</v>
      </c>
      <c r="Q15" s="114">
        <f t="shared" si="0"/>
        <v>723462.03480150015</v>
      </c>
      <c r="R15" s="114">
        <f t="shared" si="0"/>
        <v>144252.74263679999</v>
      </c>
      <c r="S15" s="115">
        <f t="shared" si="0"/>
        <v>260077.70325870003</v>
      </c>
      <c r="T15" s="92"/>
    </row>
    <row r="16" spans="1:20" s="122" customFormat="1" ht="15" x14ac:dyDescent="0.25">
      <c r="A16" s="116" t="s">
        <v>330</v>
      </c>
      <c r="B16" s="117">
        <f t="shared" ref="B16:G16" si="9">SUM(B4:B15)</f>
        <v>439387546.67971599</v>
      </c>
      <c r="C16" s="117">
        <f t="shared" si="9"/>
        <v>205756175.09999996</v>
      </c>
      <c r="D16" s="117">
        <f>SUM(D4:D15)</f>
        <v>102642301.86374998</v>
      </c>
      <c r="E16" s="117">
        <f>SUM(E4:E15)</f>
        <v>76132201.022350997</v>
      </c>
      <c r="F16" s="117">
        <f t="shared" si="9"/>
        <v>20174494.669004999</v>
      </c>
      <c r="G16" s="118">
        <f t="shared" si="9"/>
        <v>34682374.024609998</v>
      </c>
      <c r="H16" s="160">
        <f t="shared" si="2"/>
        <v>0.09</v>
      </c>
      <c r="I16" s="160">
        <f>ROUND(O16/C16,5)</f>
        <v>0.09</v>
      </c>
      <c r="J16" s="160">
        <f>ROUND(P16/D16,5)</f>
        <v>0.09</v>
      </c>
      <c r="K16" s="160">
        <f>ROUND(Q16/E16,5)</f>
        <v>0.09</v>
      </c>
      <c r="L16" s="160">
        <f>ROUND(R16/F16,5)</f>
        <v>0.09</v>
      </c>
      <c r="M16" s="161">
        <f>ROUND(S16/G16,4)</f>
        <v>0.09</v>
      </c>
      <c r="N16" s="117">
        <f t="shared" ref="N16:S16" si="10">SUM(N4:N15)</f>
        <v>39544879.201174438</v>
      </c>
      <c r="O16" s="117">
        <f t="shared" si="10"/>
        <v>18518055.759</v>
      </c>
      <c r="P16" s="117">
        <f t="shared" si="10"/>
        <v>9237807.1677375007</v>
      </c>
      <c r="Q16" s="117">
        <f t="shared" si="10"/>
        <v>6851898.0920115905</v>
      </c>
      <c r="R16" s="117">
        <f t="shared" si="10"/>
        <v>1815704.5202104496</v>
      </c>
      <c r="S16" s="117">
        <f t="shared" si="10"/>
        <v>3121413.6622148994</v>
      </c>
      <c r="T16" s="121"/>
    </row>
    <row r="17" spans="1:20" s="122" customFormat="1" ht="15" x14ac:dyDescent="0.25">
      <c r="A17" s="123"/>
      <c r="B17" s="124"/>
      <c r="C17" s="124"/>
      <c r="D17" s="124"/>
      <c r="E17" s="124"/>
      <c r="F17" s="124"/>
      <c r="G17" s="124"/>
      <c r="H17" s="126"/>
      <c r="I17" s="126"/>
      <c r="J17" s="126"/>
      <c r="K17" s="126"/>
      <c r="L17" s="126"/>
      <c r="M17" s="127"/>
      <c r="N17" s="124"/>
      <c r="O17" s="124"/>
      <c r="P17" s="124"/>
      <c r="Q17" s="124"/>
      <c r="R17" s="124"/>
      <c r="S17" s="124"/>
      <c r="T17" s="121"/>
    </row>
    <row r="18" spans="1:20" x14ac:dyDescent="0.2">
      <c r="B18" s="92">
        <f>SUM(B4:B9)</f>
        <v>235970062.57055998</v>
      </c>
      <c r="C18" s="92"/>
      <c r="D18" s="92"/>
      <c r="E18" s="92"/>
      <c r="F18" s="92"/>
      <c r="H18">
        <f>N18/B18</f>
        <v>0.09</v>
      </c>
      <c r="N18" s="92">
        <f>SUM(N4:N9)</f>
        <v>21237305.631350398</v>
      </c>
    </row>
    <row r="19" spans="1:20" x14ac:dyDescent="0.2">
      <c r="B19" s="92">
        <f>SUM(B10:B15)</f>
        <v>203417484.10915598</v>
      </c>
      <c r="H19">
        <f>N19/B19</f>
        <v>8.9999999999999983E-2</v>
      </c>
      <c r="N19" s="92">
        <f>SUM(N10:N15)</f>
        <v>18307573.569824036</v>
      </c>
    </row>
    <row r="20" spans="1:20" ht="15" x14ac:dyDescent="0.25">
      <c r="B20" s="132"/>
      <c r="C20" s="92"/>
      <c r="D20" s="92"/>
      <c r="E20" s="92"/>
      <c r="F20" s="133"/>
      <c r="G20" s="134"/>
      <c r="N20" s="92"/>
    </row>
    <row r="21" spans="1:20" x14ac:dyDescent="0.2">
      <c r="B21" s="92">
        <f>B16-'[1]2024 перед'!B16</f>
        <v>0</v>
      </c>
      <c r="C21" s="92">
        <f>C16-'[1]2024 перед'!C16</f>
        <v>0</v>
      </c>
      <c r="D21" s="92">
        <f>D16-'[1]2024 перед'!D16</f>
        <v>0</v>
      </c>
      <c r="E21" s="92">
        <f>E16-'[1]2024 перед'!E16</f>
        <v>0</v>
      </c>
      <c r="F21" s="92">
        <f>F16-'[1]2024 перед'!F16</f>
        <v>0</v>
      </c>
      <c r="G21" s="92">
        <f>G16-'[1]2024 перед'!G16</f>
        <v>0</v>
      </c>
      <c r="N21" s="92"/>
    </row>
    <row r="22" spans="1:20" ht="15" x14ac:dyDescent="0.25">
      <c r="B22" s="162"/>
      <c r="C22" s="138"/>
      <c r="D22" s="138"/>
      <c r="E22" s="138"/>
      <c r="F22" s="138"/>
      <c r="G22" s="134"/>
    </row>
    <row r="23" spans="1:20" ht="15" x14ac:dyDescent="0.25">
      <c r="B23" s="162"/>
      <c r="C23" s="138"/>
      <c r="D23" s="138"/>
      <c r="E23" s="138"/>
      <c r="F23" s="138"/>
      <c r="G23" s="134"/>
    </row>
    <row r="24" spans="1:20" ht="15" x14ac:dyDescent="0.25">
      <c r="B24" s="162"/>
      <c r="C24" s="138"/>
      <c r="D24" s="138"/>
      <c r="E24" s="138"/>
      <c r="F24" s="138"/>
      <c r="G24" s="134"/>
    </row>
    <row r="25" spans="1:20" ht="15" x14ac:dyDescent="0.25">
      <c r="A25" s="70"/>
      <c r="B25" s="70" t="s">
        <v>303</v>
      </c>
      <c r="C25" s="70" t="s">
        <v>23</v>
      </c>
      <c r="M25" t="s">
        <v>333</v>
      </c>
      <c r="N25" s="92">
        <f>N4+N5+N6</f>
        <v>12108815.553996898</v>
      </c>
      <c r="P25" s="92"/>
    </row>
    <row r="26" spans="1:20" ht="15" x14ac:dyDescent="0.25">
      <c r="A26" s="70" t="s">
        <v>300</v>
      </c>
      <c r="B26" s="75">
        <f>249885.739-'[1]2024 перед'!E52/1000</f>
        <v>95640.223999999987</v>
      </c>
      <c r="C26" s="75">
        <f>(B26/$B$29*$N$16)/1000</f>
        <v>8607.6201537256202</v>
      </c>
      <c r="D26" s="138"/>
      <c r="E26" s="92"/>
      <c r="F26" s="92"/>
      <c r="M26" t="s">
        <v>334</v>
      </c>
      <c r="N26" s="92">
        <f>N25+N7+N8+N9</f>
        <v>21237305.631350398</v>
      </c>
      <c r="P26" s="92"/>
    </row>
    <row r="27" spans="1:20" ht="15" x14ac:dyDescent="0.25">
      <c r="A27" s="70" t="s">
        <v>305</v>
      </c>
      <c r="B27" s="75">
        <v>47382.335000000006</v>
      </c>
      <c r="C27" s="75">
        <f t="shared" ref="C27:C28" si="11">(B27/$B$29*$N$16)/1000</f>
        <v>4264.4101468915314</v>
      </c>
      <c r="D27" s="130"/>
      <c r="E27" s="132"/>
      <c r="F27" s="132"/>
      <c r="M27" t="s">
        <v>335</v>
      </c>
      <c r="N27" s="92">
        <f>N26+N10+N11+N12</f>
        <v>29093038.478612185</v>
      </c>
    </row>
    <row r="28" spans="1:20" ht="15" x14ac:dyDescent="0.25">
      <c r="A28" s="70" t="s">
        <v>337</v>
      </c>
      <c r="B28" s="75">
        <v>296364.98800000001</v>
      </c>
      <c r="C28" s="75">
        <f t="shared" si="11"/>
        <v>26672.848900557285</v>
      </c>
      <c r="D28" s="130"/>
      <c r="M28" t="s">
        <v>336</v>
      </c>
      <c r="N28" s="92">
        <f>N27+N13+N14+N15</f>
        <v>39544879.201174438</v>
      </c>
    </row>
    <row r="29" spans="1:20" ht="15" x14ac:dyDescent="0.25">
      <c r="A29" s="70"/>
      <c r="B29" s="138">
        <f>SUM(B26:B28)</f>
        <v>439387.54700000002</v>
      </c>
      <c r="C29" s="138">
        <f>SUM(C26:C28)</f>
        <v>39544.879201174437</v>
      </c>
      <c r="D29" s="130"/>
      <c r="N29" s="92">
        <f>N28-N16</f>
        <v>0</v>
      </c>
    </row>
    <row r="30" spans="1:20" ht="15" x14ac:dyDescent="0.25">
      <c r="A30" s="70"/>
      <c r="B30" s="163">
        <f>B29-B16/1000</f>
        <v>3.2028404530137777E-4</v>
      </c>
      <c r="C30" s="164">
        <f>N16/1000-C29</f>
        <v>0</v>
      </c>
      <c r="D30" s="121"/>
    </row>
    <row r="31" spans="1:20" x14ac:dyDescent="0.2">
      <c r="C31" s="92"/>
      <c r="E31" s="92"/>
    </row>
    <row r="32" spans="1:20" x14ac:dyDescent="0.2">
      <c r="E32" s="92"/>
      <c r="M32" t="s">
        <v>339</v>
      </c>
    </row>
    <row r="33" spans="1:15" x14ac:dyDescent="0.2">
      <c r="M33" t="s">
        <v>333</v>
      </c>
      <c r="N33" s="92">
        <f>N25+'[1]2024 перед'!N23</f>
        <v>288122833.17511123</v>
      </c>
      <c r="O33" s="92">
        <f>N33/1000</f>
        <v>288122.83317511121</v>
      </c>
    </row>
    <row r="34" spans="1:15" x14ac:dyDescent="0.2">
      <c r="M34" t="s">
        <v>334</v>
      </c>
      <c r="N34" s="92">
        <f>N26+'[1]2024 перед'!N24</f>
        <v>499794484.331065</v>
      </c>
      <c r="O34" s="92">
        <f>N34/1000</f>
        <v>499794.48433106497</v>
      </c>
    </row>
    <row r="35" spans="1:15" x14ac:dyDescent="0.2">
      <c r="B35" t="s">
        <v>303</v>
      </c>
      <c r="C35" t="s">
        <v>365</v>
      </c>
      <c r="D35" t="s">
        <v>304</v>
      </c>
      <c r="M35" t="s">
        <v>335</v>
      </c>
      <c r="N35" s="92">
        <f>N27+'[1]2024 перед'!N25</f>
        <v>691164791.6464361</v>
      </c>
      <c r="O35" s="92">
        <f>N35/1000</f>
        <v>691164.79164643609</v>
      </c>
    </row>
    <row r="36" spans="1:15" x14ac:dyDescent="0.2">
      <c r="A36" t="s">
        <v>334</v>
      </c>
      <c r="B36" s="92">
        <f>SUM(B4:B9)/1000</f>
        <v>235970.06257055997</v>
      </c>
      <c r="C36" s="205">
        <f>D36/B36</f>
        <v>90</v>
      </c>
      <c r="D36" s="92">
        <f>SUM(N4:N9)</f>
        <v>21237305.631350398</v>
      </c>
      <c r="M36" t="s">
        <v>336</v>
      </c>
      <c r="N36" s="92">
        <f>N16+'[1]2024 перед'!N16</f>
        <v>963183440.23827982</v>
      </c>
    </row>
    <row r="37" spans="1:15" x14ac:dyDescent="0.2">
      <c r="A37" t="s">
        <v>366</v>
      </c>
      <c r="B37" s="92">
        <f>SUM(B10:B15)/1000</f>
        <v>203417.48410915598</v>
      </c>
      <c r="C37" s="205">
        <f>D37/B37</f>
        <v>89.999999999999986</v>
      </c>
      <c r="D37" s="92">
        <f>SUM(N10:N15)</f>
        <v>18307573.569824036</v>
      </c>
    </row>
    <row r="38" spans="1:15" x14ac:dyDescent="0.2">
      <c r="A38" t="s">
        <v>367</v>
      </c>
      <c r="B38" s="92">
        <f>B36+B37</f>
        <v>439387.54667971598</v>
      </c>
      <c r="C38" s="205">
        <f>D38/B38</f>
        <v>90</v>
      </c>
      <c r="D38" s="92">
        <f>D36+D37</f>
        <v>39544879.201174438</v>
      </c>
    </row>
    <row r="40" spans="1:15" x14ac:dyDescent="0.2">
      <c r="M40" s="92">
        <f>B16-'[1]2024 перед'!E52</f>
        <v>285142031.67971599</v>
      </c>
      <c r="N40">
        <f>N16/1000-'[2]прил 9'!$E$87</f>
        <v>39544.879201174437</v>
      </c>
    </row>
  </sheetData>
  <mergeCells count="10">
    <mergeCell ref="A1:A3"/>
    <mergeCell ref="B1:G1"/>
    <mergeCell ref="H1:M1"/>
    <mergeCell ref="N1:S1"/>
    <mergeCell ref="B2:F2"/>
    <mergeCell ref="G2:G3"/>
    <mergeCell ref="H2:L2"/>
    <mergeCell ref="M2:M3"/>
    <mergeCell ref="N2:R2"/>
    <mergeCell ref="S2:S3"/>
  </mergeCells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M37"/>
  <sheetViews>
    <sheetView workbookViewId="0">
      <selection activeCell="F33" sqref="F33"/>
    </sheetView>
  </sheetViews>
  <sheetFormatPr defaultRowHeight="12.75" x14ac:dyDescent="0.2"/>
  <cols>
    <col min="3" max="3" width="11.5703125" bestFit="1" customWidth="1"/>
    <col min="4" max="4" width="9.5703125" bestFit="1" customWidth="1"/>
    <col min="5" max="5" width="9.85546875" bestFit="1" customWidth="1"/>
    <col min="8" max="8" width="10.140625" bestFit="1" customWidth="1"/>
    <col min="10" max="10" width="13.140625" bestFit="1" customWidth="1"/>
    <col min="11" max="11" width="9.85546875" bestFit="1" customWidth="1"/>
    <col min="12" max="12" width="9.28515625" bestFit="1" customWidth="1"/>
    <col min="13" max="13" width="9.85546875" bestFit="1" customWidth="1"/>
  </cols>
  <sheetData>
    <row r="2" spans="2:7" ht="15" x14ac:dyDescent="0.25">
      <c r="B2" s="72" t="s">
        <v>340</v>
      </c>
      <c r="C2" s="286">
        <v>2023</v>
      </c>
      <c r="D2" s="286"/>
      <c r="E2" s="70"/>
    </row>
    <row r="3" spans="2:7" ht="15" x14ac:dyDescent="0.25">
      <c r="B3" s="71"/>
      <c r="C3" s="73" t="s">
        <v>301</v>
      </c>
      <c r="D3" s="73" t="s">
        <v>302</v>
      </c>
      <c r="E3" s="70"/>
    </row>
    <row r="4" spans="2:7" ht="15" x14ac:dyDescent="0.25">
      <c r="B4" s="70" t="s">
        <v>303</v>
      </c>
      <c r="C4" s="75">
        <f>'2024 перед.'!L35</f>
        <v>235970.06257055997</v>
      </c>
      <c r="D4" s="75">
        <f>'2024 перед.'!L36</f>
        <v>203417.48410915598</v>
      </c>
      <c r="E4" s="75">
        <f>C4+D4</f>
        <v>439387.54667971598</v>
      </c>
    </row>
    <row r="5" spans="2:7" ht="15" x14ac:dyDescent="0.25">
      <c r="B5" s="70" t="s">
        <v>304</v>
      </c>
      <c r="C5" s="165">
        <f>F31+F32-'2024 перед.'!N35/1000-'2024 сбыт'!D36/1000</f>
        <v>8115445.8232189342</v>
      </c>
      <c r="D5" s="165">
        <f>G31+G32-'2024 перед.'!N36/1000-'2024 сбыт'!D37/1000</f>
        <v>6601615.5610927874</v>
      </c>
      <c r="E5" s="165">
        <f>C5+D5</f>
        <v>14717061.384311721</v>
      </c>
      <c r="F5" s="92"/>
      <c r="G5" t="s">
        <v>341</v>
      </c>
    </row>
    <row r="6" spans="2:7" ht="15" x14ac:dyDescent="0.25">
      <c r="B6" s="70"/>
      <c r="C6" s="166">
        <f>C5/C4*1000</f>
        <v>34391.845028189739</v>
      </c>
      <c r="D6" s="166">
        <f>D5/D4*1000</f>
        <v>32453.530678563944</v>
      </c>
      <c r="E6" s="166">
        <f>E5/E4*1000</f>
        <v>33494.489080364103</v>
      </c>
    </row>
    <row r="8" spans="2:7" x14ac:dyDescent="0.2">
      <c r="B8" t="s">
        <v>342</v>
      </c>
      <c r="E8" s="92">
        <f>'Листы2-9'!D21</f>
        <v>923638.56103711913</v>
      </c>
    </row>
    <row r="9" spans="2:7" ht="15" x14ac:dyDescent="0.25">
      <c r="B9" s="70" t="s">
        <v>343</v>
      </c>
      <c r="E9" s="92">
        <f>'Листы2-9'!D117</f>
        <v>39544.879201174437</v>
      </c>
    </row>
    <row r="10" spans="2:7" ht="15" x14ac:dyDescent="0.25">
      <c r="B10" s="70" t="s">
        <v>344</v>
      </c>
      <c r="E10" s="84">
        <f>J23-E5-E8-E9</f>
        <v>-1.3344106264412403E-8</v>
      </c>
    </row>
    <row r="19" spans="5:13" x14ac:dyDescent="0.2">
      <c r="E19" t="s">
        <v>345</v>
      </c>
    </row>
    <row r="20" spans="5:13" x14ac:dyDescent="0.2">
      <c r="F20" t="s">
        <v>346</v>
      </c>
      <c r="G20" t="s">
        <v>347</v>
      </c>
      <c r="H20" t="s">
        <v>255</v>
      </c>
      <c r="I20" t="s">
        <v>338</v>
      </c>
    </row>
    <row r="21" spans="5:13" x14ac:dyDescent="0.2">
      <c r="E21" t="s">
        <v>348</v>
      </c>
      <c r="F21" s="212">
        <v>4165083.1359999999</v>
      </c>
      <c r="G21" s="212">
        <f>H21-F21</f>
        <v>8768173.2210000008</v>
      </c>
      <c r="H21" s="212">
        <v>12933256.357000001</v>
      </c>
      <c r="I21" s="212">
        <f>H27</f>
        <v>3406840.2244499996</v>
      </c>
    </row>
    <row r="22" spans="5:13" x14ac:dyDescent="0.2">
      <c r="E22" t="s">
        <v>349</v>
      </c>
      <c r="F22" s="212">
        <v>6345613.6519999998</v>
      </c>
      <c r="G22" s="212">
        <f>H22-F22</f>
        <v>513771.8900000006</v>
      </c>
      <c r="H22" s="212">
        <v>6859385.5420000004</v>
      </c>
      <c r="I22" s="212">
        <f>H28</f>
        <v>705556.85</v>
      </c>
    </row>
    <row r="23" spans="5:13" ht="15" x14ac:dyDescent="0.25">
      <c r="F23" s="213"/>
      <c r="G23" s="213"/>
      <c r="H23" s="138">
        <f>H21+H22</f>
        <v>19792641.899</v>
      </c>
      <c r="I23" s="138">
        <f>I21+I22</f>
        <v>4112397.0744499997</v>
      </c>
      <c r="J23" s="212">
        <f>H23-I23</f>
        <v>15680244.824550001</v>
      </c>
    </row>
    <row r="24" spans="5:13" ht="15" x14ac:dyDescent="0.25">
      <c r="K24" s="121"/>
      <c r="L24" s="121"/>
      <c r="M24" s="121"/>
    </row>
    <row r="26" spans="5:13" x14ac:dyDescent="0.2">
      <c r="E26" t="s">
        <v>338</v>
      </c>
    </row>
    <row r="27" spans="5:13" x14ac:dyDescent="0.2">
      <c r="E27" s="213" t="s">
        <v>348</v>
      </c>
      <c r="F27" s="212">
        <v>1189899.6304499998</v>
      </c>
      <c r="G27" s="212">
        <v>2216940.5939999996</v>
      </c>
      <c r="H27" s="212">
        <f>F27+G27</f>
        <v>3406840.2244499996</v>
      </c>
      <c r="I27" s="92" t="s">
        <v>369</v>
      </c>
    </row>
    <row r="28" spans="5:13" x14ac:dyDescent="0.2">
      <c r="E28" s="213" t="s">
        <v>349</v>
      </c>
      <c r="F28" s="212">
        <v>705556.85</v>
      </c>
      <c r="G28" s="212">
        <v>0</v>
      </c>
      <c r="H28" s="212">
        <f>F28+G28</f>
        <v>705556.85</v>
      </c>
      <c r="I28" s="92"/>
    </row>
    <row r="29" spans="5:13" x14ac:dyDescent="0.2">
      <c r="F29" s="92"/>
      <c r="G29" s="92"/>
      <c r="H29" s="92"/>
      <c r="I29" s="92"/>
    </row>
    <row r="30" spans="5:13" x14ac:dyDescent="0.2">
      <c r="E30" s="136" t="s">
        <v>350</v>
      </c>
      <c r="G30" s="92"/>
      <c r="H30" s="92"/>
      <c r="I30" s="92"/>
    </row>
    <row r="31" spans="5:13" x14ac:dyDescent="0.2">
      <c r="E31" t="s">
        <v>348</v>
      </c>
      <c r="F31" s="212">
        <f>F21-F27</f>
        <v>2975183.5055499999</v>
      </c>
      <c r="G31" s="212">
        <f>G21-G27</f>
        <v>6551232.6270000013</v>
      </c>
      <c r="H31" s="92"/>
      <c r="I31" s="92"/>
    </row>
    <row r="32" spans="5:13" x14ac:dyDescent="0.2">
      <c r="E32" t="s">
        <v>349</v>
      </c>
      <c r="F32" s="212">
        <f>F22-F28</f>
        <v>5640056.8020000001</v>
      </c>
      <c r="G32" s="212">
        <f>G22-G28</f>
        <v>513771.8900000006</v>
      </c>
      <c r="H32" s="92"/>
      <c r="I32" s="92"/>
    </row>
    <row r="33" spans="3:9" x14ac:dyDescent="0.2">
      <c r="F33" s="212"/>
      <c r="G33" s="212"/>
      <c r="H33" s="92"/>
      <c r="I33" s="92"/>
    </row>
    <row r="34" spans="3:9" x14ac:dyDescent="0.2">
      <c r="C34" s="287" t="s">
        <v>368</v>
      </c>
      <c r="D34" s="287"/>
      <c r="E34" t="s">
        <v>304</v>
      </c>
      <c r="F34" s="92">
        <f>(F31+F32)</f>
        <v>8615240.30755</v>
      </c>
      <c r="G34" s="92">
        <f>(G31+G32)</f>
        <v>7065004.5170000019</v>
      </c>
    </row>
    <row r="35" spans="3:9" x14ac:dyDescent="0.2">
      <c r="E35" t="s">
        <v>303</v>
      </c>
      <c r="F35" s="92">
        <f>'2024 перед.'!L35</f>
        <v>235970.06257055997</v>
      </c>
      <c r="G35" s="92">
        <f>'2024 перед.'!L36</f>
        <v>203417.48410915598</v>
      </c>
    </row>
    <row r="36" spans="3:9" x14ac:dyDescent="0.2">
      <c r="F36" s="166">
        <f>F34/F35*1000</f>
        <v>36509.886947942236</v>
      </c>
      <c r="G36" s="166">
        <f>G34/G35*1000</f>
        <v>34731.549984212987</v>
      </c>
    </row>
    <row r="37" spans="3:9" x14ac:dyDescent="0.2">
      <c r="F37" s="130">
        <f>F36-'2024 перед.'!M35-'2024 сбыт'!C36</f>
        <v>34391.845028189739</v>
      </c>
      <c r="G37" s="130">
        <f>G36-'2024 перед.'!M36-'2024 сбыт'!C37</f>
        <v>32453.530678563944</v>
      </c>
    </row>
  </sheetData>
  <mergeCells count="2">
    <mergeCell ref="C2:D2"/>
    <mergeCell ref="C34:D3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R37"/>
  <sheetViews>
    <sheetView zoomScale="60" zoomScaleNormal="60" workbookViewId="0">
      <selection activeCell="F33" sqref="F33"/>
    </sheetView>
  </sheetViews>
  <sheetFormatPr defaultRowHeight="15.75" x14ac:dyDescent="0.25"/>
  <cols>
    <col min="1" max="1" width="2.85546875" style="168" customWidth="1"/>
    <col min="2" max="2" width="17.42578125" style="168" customWidth="1"/>
    <col min="3" max="3" width="14.5703125" style="168" customWidth="1"/>
    <col min="4" max="4" width="14.28515625" style="168" customWidth="1"/>
    <col min="5" max="5" width="12.5703125" style="168" customWidth="1"/>
    <col min="6" max="6" width="14.5703125" style="168" customWidth="1"/>
    <col min="7" max="7" width="14.28515625" style="168" customWidth="1"/>
    <col min="8" max="8" width="12.5703125" style="168" customWidth="1"/>
    <col min="9" max="9" width="14.5703125" style="168" customWidth="1"/>
    <col min="10" max="10" width="14.28515625" style="168" customWidth="1"/>
    <col min="11" max="11" width="12.5703125" style="168" customWidth="1"/>
    <col min="12" max="12" width="14.5703125" style="168" customWidth="1"/>
    <col min="13" max="13" width="14.28515625" style="168" customWidth="1"/>
    <col min="14" max="14" width="12.5703125" style="168" customWidth="1"/>
    <col min="15" max="16" width="9.140625" style="168"/>
    <col min="17" max="17" width="16.5703125" style="168" bestFit="1" customWidth="1"/>
    <col min="18" max="18" width="11.7109375" style="168" customWidth="1"/>
    <col min="19" max="16384" width="9.140625" style="168"/>
  </cols>
  <sheetData>
    <row r="1" spans="2:18" ht="18.75" x14ac:dyDescent="0.3">
      <c r="B1" s="167" t="s">
        <v>351</v>
      </c>
    </row>
    <row r="2" spans="2:18" ht="18.75" x14ac:dyDescent="0.3">
      <c r="B2" s="169" t="s">
        <v>352</v>
      </c>
    </row>
    <row r="3" spans="2:18" ht="17.25" thickBot="1" x14ac:dyDescent="0.3">
      <c r="B3" s="170" t="s">
        <v>353</v>
      </c>
    </row>
    <row r="4" spans="2:18" x14ac:dyDescent="0.25">
      <c r="B4" s="288" t="s">
        <v>354</v>
      </c>
      <c r="C4" s="291" t="s">
        <v>300</v>
      </c>
      <c r="D4" s="292"/>
      <c r="E4" s="293"/>
      <c r="F4" s="291" t="s">
        <v>306</v>
      </c>
      <c r="G4" s="292"/>
      <c r="H4" s="293"/>
      <c r="I4" s="291" t="s">
        <v>305</v>
      </c>
      <c r="J4" s="292"/>
      <c r="K4" s="293"/>
      <c r="L4" s="294" t="s">
        <v>250</v>
      </c>
      <c r="M4" s="292"/>
      <c r="N4" s="293"/>
    </row>
    <row r="5" spans="2:18" ht="47.25" x14ac:dyDescent="0.25">
      <c r="B5" s="289"/>
      <c r="C5" s="171" t="s">
        <v>355</v>
      </c>
      <c r="D5" s="172" t="s">
        <v>356</v>
      </c>
      <c r="E5" s="173" t="s">
        <v>357</v>
      </c>
      <c r="F5" s="171" t="s">
        <v>355</v>
      </c>
      <c r="G5" s="172" t="s">
        <v>356</v>
      </c>
      <c r="H5" s="173" t="s">
        <v>357</v>
      </c>
      <c r="I5" s="171" t="s">
        <v>355</v>
      </c>
      <c r="J5" s="172" t="s">
        <v>356</v>
      </c>
      <c r="K5" s="173" t="s">
        <v>357</v>
      </c>
      <c r="L5" s="174" t="s">
        <v>355</v>
      </c>
      <c r="M5" s="172" t="s">
        <v>356</v>
      </c>
      <c r="N5" s="173" t="s">
        <v>357</v>
      </c>
    </row>
    <row r="6" spans="2:18" x14ac:dyDescent="0.25">
      <c r="B6" s="290"/>
      <c r="C6" s="175" t="s">
        <v>358</v>
      </c>
      <c r="D6" s="176" t="s">
        <v>359</v>
      </c>
      <c r="E6" s="173" t="s">
        <v>360</v>
      </c>
      <c r="F6" s="175" t="s">
        <v>358</v>
      </c>
      <c r="G6" s="176" t="s">
        <v>359</v>
      </c>
      <c r="H6" s="173" t="s">
        <v>360</v>
      </c>
      <c r="I6" s="175" t="s">
        <v>358</v>
      </c>
      <c r="J6" s="176" t="s">
        <v>359</v>
      </c>
      <c r="K6" s="173" t="s">
        <v>360</v>
      </c>
      <c r="L6" s="177" t="s">
        <v>358</v>
      </c>
      <c r="M6" s="176" t="s">
        <v>359</v>
      </c>
      <c r="N6" s="173" t="s">
        <v>360</v>
      </c>
    </row>
    <row r="7" spans="2:18" x14ac:dyDescent="0.25">
      <c r="B7" s="178" t="s">
        <v>318</v>
      </c>
      <c r="C7" s="179">
        <v>12234</v>
      </c>
      <c r="D7" s="180">
        <v>24661.3</v>
      </c>
      <c r="E7" s="181">
        <f>D7/C7</f>
        <v>2.0158002288703614</v>
      </c>
      <c r="F7" s="179">
        <v>4221</v>
      </c>
      <c r="G7" s="180">
        <v>56012.1</v>
      </c>
      <c r="H7" s="181">
        <f>G7/F7</f>
        <v>13.269864960909736</v>
      </c>
      <c r="I7" s="179">
        <v>5916</v>
      </c>
      <c r="J7" s="180">
        <v>95993.3</v>
      </c>
      <c r="K7" s="181">
        <f>J7/I7</f>
        <v>16.226048005409062</v>
      </c>
      <c r="L7" s="182">
        <f>C7+F7+I7</f>
        <v>22371</v>
      </c>
      <c r="M7" s="180">
        <f>D7+G7+J7</f>
        <v>176666.7</v>
      </c>
      <c r="N7" s="181">
        <f>M7/L7</f>
        <v>7.8971302132224759</v>
      </c>
      <c r="P7" s="214">
        <f>SUM(L7:L12)</f>
        <v>110688</v>
      </c>
      <c r="Q7" s="214">
        <f>SUM(M7:M12)*1000</f>
        <v>874607299.99999988</v>
      </c>
      <c r="R7" s="232">
        <f>Q7/P7</f>
        <v>7901.5548207574429</v>
      </c>
    </row>
    <row r="8" spans="2:18" x14ac:dyDescent="0.25">
      <c r="B8" s="178" t="s">
        <v>319</v>
      </c>
      <c r="C8" s="179">
        <v>11766</v>
      </c>
      <c r="D8" s="180">
        <v>24425.4</v>
      </c>
      <c r="E8" s="181">
        <f t="shared" ref="E8:E19" si="0">D8/C8</f>
        <v>2.0759306476287609</v>
      </c>
      <c r="F8" s="179">
        <v>3802</v>
      </c>
      <c r="G8" s="180">
        <v>50371.8</v>
      </c>
      <c r="H8" s="181">
        <f t="shared" ref="H8:H19" si="1">G8/F8</f>
        <v>13.248763808521831</v>
      </c>
      <c r="I8" s="179">
        <v>5458</v>
      </c>
      <c r="J8" s="180">
        <v>89047.8</v>
      </c>
      <c r="K8" s="181">
        <f t="shared" ref="K8:K19" si="2">J8/I8</f>
        <v>16.315097105166728</v>
      </c>
      <c r="L8" s="182">
        <f t="shared" ref="L8:M18" si="3">C8+F8+I8</f>
        <v>21026</v>
      </c>
      <c r="M8" s="180">
        <f t="shared" si="3"/>
        <v>163845</v>
      </c>
      <c r="N8" s="181">
        <f t="shared" ref="N8:N19" si="4">M8/L8</f>
        <v>7.7924950061828211</v>
      </c>
      <c r="P8" s="214">
        <f>SUM(L13:L18)</f>
        <v>96887</v>
      </c>
      <c r="Q8" s="214">
        <f>SUM(M13:M18)*1000</f>
        <v>835718800</v>
      </c>
      <c r="R8" s="232">
        <f>Q8/P8</f>
        <v>8625.7062350986198</v>
      </c>
    </row>
    <row r="9" spans="2:18" x14ac:dyDescent="0.25">
      <c r="B9" s="178" t="s">
        <v>320</v>
      </c>
      <c r="C9" s="179">
        <v>11813</v>
      </c>
      <c r="D9" s="180">
        <v>23238</v>
      </c>
      <c r="E9" s="181">
        <f t="shared" si="0"/>
        <v>1.9671548294252095</v>
      </c>
      <c r="F9" s="179">
        <v>2893</v>
      </c>
      <c r="G9" s="180">
        <v>42161.4</v>
      </c>
      <c r="H9" s="181">
        <f t="shared" si="1"/>
        <v>14.573591427583823</v>
      </c>
      <c r="I9" s="179">
        <v>5691</v>
      </c>
      <c r="J9" s="180">
        <v>94264.4</v>
      </c>
      <c r="K9" s="181">
        <f t="shared" si="2"/>
        <v>16.563767351959232</v>
      </c>
      <c r="L9" s="182">
        <f t="shared" si="3"/>
        <v>20397</v>
      </c>
      <c r="M9" s="180">
        <f t="shared" si="3"/>
        <v>159663.79999999999</v>
      </c>
      <c r="N9" s="181">
        <f t="shared" si="4"/>
        <v>7.8278080109820065</v>
      </c>
      <c r="P9" s="214">
        <f>L19-P7-P8</f>
        <v>0</v>
      </c>
      <c r="Q9" s="214">
        <f>M19*1000-Q7-Q8</f>
        <v>0</v>
      </c>
    </row>
    <row r="10" spans="2:18" x14ac:dyDescent="0.25">
      <c r="B10" s="178" t="s">
        <v>321</v>
      </c>
      <c r="C10" s="179">
        <v>10462</v>
      </c>
      <c r="D10" s="180">
        <v>20512</v>
      </c>
      <c r="E10" s="181">
        <f t="shared" si="0"/>
        <v>1.9606193844389219</v>
      </c>
      <c r="F10" s="179">
        <v>3116</v>
      </c>
      <c r="G10" s="180">
        <v>43805.7</v>
      </c>
      <c r="H10" s="181">
        <f t="shared" si="1"/>
        <v>14.058311938382541</v>
      </c>
      <c r="I10" s="179">
        <v>5088</v>
      </c>
      <c r="J10" s="180">
        <v>82477.899999999994</v>
      </c>
      <c r="K10" s="181">
        <f t="shared" si="2"/>
        <v>16.210279088050314</v>
      </c>
      <c r="L10" s="182">
        <f t="shared" si="3"/>
        <v>18666</v>
      </c>
      <c r="M10" s="180">
        <f t="shared" si="3"/>
        <v>146795.59999999998</v>
      </c>
      <c r="N10" s="181">
        <f t="shared" si="4"/>
        <v>7.8643308689596045</v>
      </c>
    </row>
    <row r="11" spans="2:18" x14ac:dyDescent="0.25">
      <c r="B11" s="178" t="s">
        <v>322</v>
      </c>
      <c r="C11" s="179">
        <v>8567</v>
      </c>
      <c r="D11" s="180">
        <v>16578.900000000001</v>
      </c>
      <c r="E11" s="181">
        <f t="shared" si="0"/>
        <v>1.9352048558421853</v>
      </c>
      <c r="F11" s="179">
        <v>3139</v>
      </c>
      <c r="G11" s="180">
        <v>42539.8</v>
      </c>
      <c r="H11" s="181">
        <f t="shared" si="1"/>
        <v>13.55202293724116</v>
      </c>
      <c r="I11" s="179">
        <v>4408</v>
      </c>
      <c r="J11" s="180">
        <v>82236.399999999994</v>
      </c>
      <c r="K11" s="181">
        <f t="shared" si="2"/>
        <v>18.656170598911068</v>
      </c>
      <c r="L11" s="182">
        <f t="shared" si="3"/>
        <v>16114</v>
      </c>
      <c r="M11" s="180">
        <f t="shared" si="3"/>
        <v>141355.1</v>
      </c>
      <c r="N11" s="181">
        <f t="shared" si="4"/>
        <v>8.772191882834802</v>
      </c>
    </row>
    <row r="12" spans="2:18" x14ac:dyDescent="0.25">
      <c r="B12" s="178" t="s">
        <v>323</v>
      </c>
      <c r="C12" s="179">
        <v>6898</v>
      </c>
      <c r="D12" s="180">
        <v>6654.9</v>
      </c>
      <c r="E12" s="181">
        <f t="shared" si="0"/>
        <v>0.96475790084082336</v>
      </c>
      <c r="F12" s="179">
        <v>2406</v>
      </c>
      <c r="G12" s="180">
        <v>36149.599999999999</v>
      </c>
      <c r="H12" s="181">
        <f t="shared" si="1"/>
        <v>15.02477140482128</v>
      </c>
      <c r="I12" s="179">
        <v>2810</v>
      </c>
      <c r="J12" s="180">
        <v>43476.6</v>
      </c>
      <c r="K12" s="181">
        <f t="shared" si="2"/>
        <v>15.472099644128113</v>
      </c>
      <c r="L12" s="182">
        <f t="shared" si="3"/>
        <v>12114</v>
      </c>
      <c r="M12" s="180">
        <f t="shared" si="3"/>
        <v>86281.1</v>
      </c>
      <c r="N12" s="181">
        <f t="shared" si="4"/>
        <v>7.1224285950140338</v>
      </c>
    </row>
    <row r="13" spans="2:18" x14ac:dyDescent="0.25">
      <c r="B13" s="178" t="s">
        <v>324</v>
      </c>
      <c r="C13" s="179">
        <v>5994</v>
      </c>
      <c r="D13" s="180">
        <v>8729</v>
      </c>
      <c r="E13" s="181">
        <f t="shared" si="0"/>
        <v>1.4562896229562896</v>
      </c>
      <c r="F13" s="179">
        <v>2134</v>
      </c>
      <c r="G13" s="180">
        <f>[3]Июль!$G$38</f>
        <v>34636.1</v>
      </c>
      <c r="H13" s="181">
        <f t="shared" si="1"/>
        <v>16.230599812558573</v>
      </c>
      <c r="I13" s="179">
        <v>2627</v>
      </c>
      <c r="J13" s="180">
        <f>[3]Июль!$G$41</f>
        <v>48328.3</v>
      </c>
      <c r="K13" s="181">
        <f t="shared" si="2"/>
        <v>18.396764370003808</v>
      </c>
      <c r="L13" s="182">
        <f t="shared" si="3"/>
        <v>10755</v>
      </c>
      <c r="M13" s="180">
        <f t="shared" si="3"/>
        <v>91693.4</v>
      </c>
      <c r="N13" s="181">
        <f t="shared" si="4"/>
        <v>8.5256531845653178</v>
      </c>
    </row>
    <row r="14" spans="2:18" x14ac:dyDescent="0.25">
      <c r="B14" s="178" t="s">
        <v>325</v>
      </c>
      <c r="C14" s="179">
        <v>6959</v>
      </c>
      <c r="D14" s="180">
        <v>8376.9</v>
      </c>
      <c r="E14" s="181">
        <f t="shared" si="0"/>
        <v>1.2037505388705274</v>
      </c>
      <c r="F14" s="179">
        <v>5569</v>
      </c>
      <c r="G14" s="180">
        <f>[3]Август!$G$38</f>
        <v>74068.800000000003</v>
      </c>
      <c r="H14" s="181">
        <f t="shared" si="1"/>
        <v>13.300197521996768</v>
      </c>
      <c r="I14" s="179">
        <v>2911</v>
      </c>
      <c r="J14" s="180">
        <f>[3]Август!$G$41</f>
        <v>49686.8</v>
      </c>
      <c r="K14" s="181">
        <f t="shared" si="2"/>
        <v>17.068636207488836</v>
      </c>
      <c r="L14" s="182">
        <f t="shared" si="3"/>
        <v>15439</v>
      </c>
      <c r="M14" s="180">
        <f t="shared" si="3"/>
        <v>132132.5</v>
      </c>
      <c r="N14" s="181">
        <f t="shared" si="4"/>
        <v>8.558358701988471</v>
      </c>
    </row>
    <row r="15" spans="2:18" x14ac:dyDescent="0.25">
      <c r="B15" s="178" t="s">
        <v>326</v>
      </c>
      <c r="C15" s="179">
        <v>7372</v>
      </c>
      <c r="D15" s="180">
        <v>7854</v>
      </c>
      <c r="E15" s="181">
        <f t="shared" si="0"/>
        <v>1.0653825284861638</v>
      </c>
      <c r="F15" s="179">
        <v>5279</v>
      </c>
      <c r="G15" s="180">
        <v>80082</v>
      </c>
      <c r="H15" s="181">
        <f t="shared" si="1"/>
        <v>15.16991854517901</v>
      </c>
      <c r="I15" s="179">
        <v>3043</v>
      </c>
      <c r="J15" s="180">
        <v>52019</v>
      </c>
      <c r="K15" s="181">
        <f t="shared" si="2"/>
        <v>17.094643443969765</v>
      </c>
      <c r="L15" s="182">
        <f t="shared" si="3"/>
        <v>15694</v>
      </c>
      <c r="M15" s="180">
        <f t="shared" si="3"/>
        <v>139955</v>
      </c>
      <c r="N15" s="181">
        <f t="shared" si="4"/>
        <v>8.9177392634127699</v>
      </c>
    </row>
    <row r="16" spans="2:18" x14ac:dyDescent="0.25">
      <c r="B16" s="178" t="s">
        <v>327</v>
      </c>
      <c r="C16" s="179">
        <v>9427</v>
      </c>
      <c r="D16" s="180">
        <v>19609</v>
      </c>
      <c r="E16" s="181">
        <f t="shared" si="0"/>
        <v>2.080089105760051</v>
      </c>
      <c r="F16" s="179">
        <v>4625</v>
      </c>
      <c r="G16" s="180">
        <v>70689</v>
      </c>
      <c r="H16" s="181">
        <f t="shared" si="1"/>
        <v>15.284108108108109</v>
      </c>
      <c r="I16" s="179">
        <v>3959</v>
      </c>
      <c r="J16" s="180">
        <v>66880</v>
      </c>
      <c r="K16" s="181">
        <f t="shared" si="2"/>
        <v>16.893154837080072</v>
      </c>
      <c r="L16" s="182">
        <f>C16+F16+I16</f>
        <v>18011</v>
      </c>
      <c r="M16" s="180">
        <f t="shared" si="3"/>
        <v>157178</v>
      </c>
      <c r="N16" s="181">
        <f t="shared" si="4"/>
        <v>8.7267780800621839</v>
      </c>
    </row>
    <row r="17" spans="2:14" x14ac:dyDescent="0.25">
      <c r="B17" s="178" t="s">
        <v>328</v>
      </c>
      <c r="C17" s="179">
        <v>10330</v>
      </c>
      <c r="D17" s="180">
        <v>25394</v>
      </c>
      <c r="E17" s="181">
        <f t="shared" si="0"/>
        <v>2.4582768635043561</v>
      </c>
      <c r="F17" s="179">
        <v>3346</v>
      </c>
      <c r="G17" s="180">
        <v>56602.6</v>
      </c>
      <c r="H17" s="181">
        <f t="shared" si="1"/>
        <v>16.91649731022116</v>
      </c>
      <c r="I17" s="179">
        <v>3574</v>
      </c>
      <c r="J17" s="180">
        <v>61034.9</v>
      </c>
      <c r="K17" s="181">
        <f t="shared" si="2"/>
        <v>17.077476217123671</v>
      </c>
      <c r="L17" s="182">
        <f t="shared" si="3"/>
        <v>17250</v>
      </c>
      <c r="M17" s="180">
        <f t="shared" si="3"/>
        <v>143031.5</v>
      </c>
      <c r="N17" s="181">
        <f t="shared" si="4"/>
        <v>8.291681159420289</v>
      </c>
    </row>
    <row r="18" spans="2:14" x14ac:dyDescent="0.25">
      <c r="B18" s="178" t="s">
        <v>329</v>
      </c>
      <c r="C18" s="179">
        <v>11626</v>
      </c>
      <c r="D18" s="180">
        <v>34500.800000000003</v>
      </c>
      <c r="E18" s="181">
        <f t="shared" si="0"/>
        <v>2.9675554790985723</v>
      </c>
      <c r="F18" s="179">
        <v>3942</v>
      </c>
      <c r="G18" s="180">
        <v>72833.600000000006</v>
      </c>
      <c r="H18" s="181">
        <f t="shared" si="1"/>
        <v>18.476306443429731</v>
      </c>
      <c r="I18" s="179">
        <v>4170</v>
      </c>
      <c r="J18" s="180">
        <v>64394</v>
      </c>
      <c r="K18" s="181">
        <f t="shared" si="2"/>
        <v>15.442206235011991</v>
      </c>
      <c r="L18" s="182">
        <f t="shared" si="3"/>
        <v>19738</v>
      </c>
      <c r="M18" s="180">
        <f t="shared" si="3"/>
        <v>171728.40000000002</v>
      </c>
      <c r="N18" s="181">
        <f t="shared" si="4"/>
        <v>8.7003951768162953</v>
      </c>
    </row>
    <row r="19" spans="2:14" s="191" customFormat="1" ht="16.5" thickBot="1" x14ac:dyDescent="0.3">
      <c r="B19" s="183" t="s">
        <v>330</v>
      </c>
      <c r="C19" s="184">
        <f>SUM(C7:C18)</f>
        <v>113448</v>
      </c>
      <c r="D19" s="185">
        <f>SUM(D7:D18)</f>
        <v>220534.2</v>
      </c>
      <c r="E19" s="186">
        <f t="shared" si="0"/>
        <v>1.9439232071081025</v>
      </c>
      <c r="F19" s="187">
        <f>SUM(F7:F18)</f>
        <v>44472</v>
      </c>
      <c r="G19" s="188">
        <f>SUM(G7:G18)</f>
        <v>659952.49999999988</v>
      </c>
      <c r="H19" s="189">
        <f t="shared" si="1"/>
        <v>14.839730617017446</v>
      </c>
      <c r="I19" s="187">
        <f>SUM(I7:I18)</f>
        <v>49655</v>
      </c>
      <c r="J19" s="188">
        <f>SUM(J7:J18)</f>
        <v>829839.40000000014</v>
      </c>
      <c r="K19" s="189">
        <f t="shared" si="2"/>
        <v>16.712101500352436</v>
      </c>
      <c r="L19" s="190">
        <f>SUM(L7:L18)</f>
        <v>207575</v>
      </c>
      <c r="M19" s="188">
        <f>SUM(M7:M18)</f>
        <v>1710326.1</v>
      </c>
      <c r="N19" s="189">
        <f t="shared" si="4"/>
        <v>8.2395572684571849</v>
      </c>
    </row>
    <row r="21" spans="2:14" ht="17.25" thickBot="1" x14ac:dyDescent="0.3">
      <c r="B21" s="170" t="s">
        <v>361</v>
      </c>
    </row>
    <row r="22" spans="2:14" x14ac:dyDescent="0.25">
      <c r="B22" s="295" t="s">
        <v>354</v>
      </c>
      <c r="C22" s="291" t="s">
        <v>300</v>
      </c>
      <c r="D22" s="292"/>
      <c r="E22" s="293"/>
      <c r="F22" s="291" t="s">
        <v>306</v>
      </c>
      <c r="G22" s="292"/>
      <c r="H22" s="293"/>
      <c r="I22" s="291" t="s">
        <v>305</v>
      </c>
      <c r="J22" s="292"/>
      <c r="K22" s="293"/>
      <c r="L22" s="294" t="s">
        <v>250</v>
      </c>
      <c r="M22" s="292"/>
      <c r="N22" s="293"/>
    </row>
    <row r="23" spans="2:14" ht="47.25" x14ac:dyDescent="0.25">
      <c r="B23" s="296"/>
      <c r="C23" s="171" t="s">
        <v>362</v>
      </c>
      <c r="D23" s="172" t="s">
        <v>356</v>
      </c>
      <c r="E23" s="173" t="s">
        <v>357</v>
      </c>
      <c r="F23" s="171" t="s">
        <v>362</v>
      </c>
      <c r="G23" s="172" t="s">
        <v>356</v>
      </c>
      <c r="H23" s="173" t="s">
        <v>357</v>
      </c>
      <c r="I23" s="171" t="s">
        <v>362</v>
      </c>
      <c r="J23" s="172" t="s">
        <v>356</v>
      </c>
      <c r="K23" s="173" t="s">
        <v>357</v>
      </c>
      <c r="L23" s="174" t="s">
        <v>362</v>
      </c>
      <c r="M23" s="172" t="s">
        <v>356</v>
      </c>
      <c r="N23" s="173" t="s">
        <v>357</v>
      </c>
    </row>
    <row r="24" spans="2:14" x14ac:dyDescent="0.25">
      <c r="B24" s="192"/>
      <c r="C24" s="175" t="s">
        <v>363</v>
      </c>
      <c r="D24" s="176" t="s">
        <v>359</v>
      </c>
      <c r="E24" s="173" t="s">
        <v>364</v>
      </c>
      <c r="F24" s="175" t="s">
        <v>363</v>
      </c>
      <c r="G24" s="176" t="s">
        <v>359</v>
      </c>
      <c r="H24" s="173" t="s">
        <v>364</v>
      </c>
      <c r="I24" s="175" t="s">
        <v>363</v>
      </c>
      <c r="J24" s="176" t="s">
        <v>359</v>
      </c>
      <c r="K24" s="173" t="s">
        <v>364</v>
      </c>
      <c r="L24" s="177" t="s">
        <v>363</v>
      </c>
      <c r="M24" s="176" t="s">
        <v>359</v>
      </c>
      <c r="N24" s="173" t="s">
        <v>364</v>
      </c>
    </row>
    <row r="25" spans="2:14" x14ac:dyDescent="0.25">
      <c r="B25" s="192" t="s">
        <v>318</v>
      </c>
      <c r="C25" s="179">
        <v>28403</v>
      </c>
      <c r="D25" s="180">
        <v>29676.5</v>
      </c>
      <c r="E25" s="193">
        <f>D25/C25*1000</f>
        <v>1044.8368130127099</v>
      </c>
      <c r="F25" s="179">
        <v>1004</v>
      </c>
      <c r="G25" s="180">
        <v>5508.2</v>
      </c>
      <c r="H25" s="193">
        <f>G25/F25*1000</f>
        <v>5486.2549800796814</v>
      </c>
      <c r="I25" s="179">
        <v>9547</v>
      </c>
      <c r="J25" s="180">
        <v>46979.7</v>
      </c>
      <c r="K25" s="193">
        <f>J25/I25*1000</f>
        <v>4920.8861422436366</v>
      </c>
      <c r="L25" s="182">
        <f>C25+F25+I25</f>
        <v>38954</v>
      </c>
      <c r="M25" s="180">
        <f>D25+G25+J25</f>
        <v>82164.399999999994</v>
      </c>
      <c r="N25" s="193">
        <f>M25/L25*1000</f>
        <v>2109.2673409662675</v>
      </c>
    </row>
    <row r="26" spans="2:14" x14ac:dyDescent="0.25">
      <c r="B26" s="192" t="s">
        <v>319</v>
      </c>
      <c r="C26" s="179">
        <v>28010</v>
      </c>
      <c r="D26" s="180">
        <v>30593.7</v>
      </c>
      <c r="E26" s="193">
        <f t="shared" ref="E26:E36" si="5">D26/C26*1000</f>
        <v>1092.2420564084257</v>
      </c>
      <c r="F26" s="179">
        <v>952</v>
      </c>
      <c r="G26" s="180">
        <v>5286.6999999999898</v>
      </c>
      <c r="H26" s="193">
        <f t="shared" ref="H26:H37" si="6">G26/F26*1000</f>
        <v>5553.2563025209975</v>
      </c>
      <c r="I26" s="179">
        <v>9874</v>
      </c>
      <c r="J26" s="180">
        <v>46833.4</v>
      </c>
      <c r="K26" s="193">
        <f t="shared" ref="K26:K37" si="7">J26/I26*1000</f>
        <v>4743.1030990480049</v>
      </c>
      <c r="L26" s="182">
        <f t="shared" ref="L26:M36" si="8">C26+F26+I26</f>
        <v>38836</v>
      </c>
      <c r="M26" s="180">
        <f t="shared" si="8"/>
        <v>82713.799999999988</v>
      </c>
      <c r="N26" s="193">
        <f>M26/L26*1000</f>
        <v>2129.8228447831902</v>
      </c>
    </row>
    <row r="27" spans="2:14" x14ac:dyDescent="0.25">
      <c r="B27" s="192" t="s">
        <v>320</v>
      </c>
      <c r="C27" s="179">
        <v>27850</v>
      </c>
      <c r="D27" s="180">
        <v>28401.9</v>
      </c>
      <c r="E27" s="193">
        <f t="shared" si="5"/>
        <v>1019.8168761220827</v>
      </c>
      <c r="F27" s="179">
        <v>870</v>
      </c>
      <c r="G27" s="180">
        <v>5408.2</v>
      </c>
      <c r="H27" s="193">
        <f t="shared" si="6"/>
        <v>6216.3218390804595</v>
      </c>
      <c r="I27" s="179">
        <v>9620</v>
      </c>
      <c r="J27" s="180">
        <v>47184.800000000003</v>
      </c>
      <c r="K27" s="193">
        <f t="shared" si="7"/>
        <v>4904.864864864865</v>
      </c>
      <c r="L27" s="182">
        <f t="shared" si="8"/>
        <v>38340</v>
      </c>
      <c r="M27" s="180">
        <f t="shared" si="8"/>
        <v>80994.899999999994</v>
      </c>
      <c r="N27" s="193">
        <f>M27/L27*1000</f>
        <v>2112.54303599374</v>
      </c>
    </row>
    <row r="28" spans="2:14" x14ac:dyDescent="0.25">
      <c r="B28" s="192" t="s">
        <v>321</v>
      </c>
      <c r="C28" s="179">
        <v>21612</v>
      </c>
      <c r="D28" s="180">
        <v>20457.599999999999</v>
      </c>
      <c r="E28" s="193">
        <f>D28/C28*1000</f>
        <v>946.58523042754018</v>
      </c>
      <c r="F28" s="179">
        <v>857</v>
      </c>
      <c r="G28" s="180">
        <v>5631.9</v>
      </c>
      <c r="H28" s="193">
        <f t="shared" si="6"/>
        <v>6571.6452742123683</v>
      </c>
      <c r="I28" s="179">
        <v>8396</v>
      </c>
      <c r="J28" s="180">
        <v>42139.7</v>
      </c>
      <c r="K28" s="193">
        <f t="shared" si="7"/>
        <v>5019.0209623630299</v>
      </c>
      <c r="L28" s="182">
        <f t="shared" si="8"/>
        <v>30865</v>
      </c>
      <c r="M28" s="180">
        <f t="shared" si="8"/>
        <v>68229.2</v>
      </c>
      <c r="N28" s="193">
        <f t="shared" ref="N28:N36" si="9">M28/L28*1000</f>
        <v>2210.5686052162641</v>
      </c>
    </row>
    <row r="29" spans="2:14" x14ac:dyDescent="0.25">
      <c r="B29" s="192" t="s">
        <v>322</v>
      </c>
      <c r="C29" s="179">
        <v>15672</v>
      </c>
      <c r="D29" s="180">
        <v>13997</v>
      </c>
      <c r="E29" s="193">
        <f t="shared" si="5"/>
        <v>893.12149055640634</v>
      </c>
      <c r="F29" s="179">
        <v>631</v>
      </c>
      <c r="G29" s="180">
        <v>4281.1000000000004</v>
      </c>
      <c r="H29" s="193">
        <f t="shared" si="6"/>
        <v>6784.6275752773381</v>
      </c>
      <c r="I29" s="179">
        <v>7440</v>
      </c>
      <c r="J29" s="180">
        <v>37965.1</v>
      </c>
      <c r="K29" s="193">
        <f t="shared" si="7"/>
        <v>5102.8360215053763</v>
      </c>
      <c r="L29" s="182">
        <f t="shared" si="8"/>
        <v>23743</v>
      </c>
      <c r="M29" s="180">
        <f t="shared" si="8"/>
        <v>56243.199999999997</v>
      </c>
      <c r="N29" s="193">
        <f t="shared" si="9"/>
        <v>2368.8329191761782</v>
      </c>
    </row>
    <row r="30" spans="2:14" x14ac:dyDescent="0.25">
      <c r="B30" s="192" t="s">
        <v>323</v>
      </c>
      <c r="C30" s="179">
        <v>10737</v>
      </c>
      <c r="D30" s="180">
        <v>8533.9</v>
      </c>
      <c r="E30" s="193">
        <f t="shared" si="5"/>
        <v>794.81233119120793</v>
      </c>
      <c r="F30" s="179">
        <v>639</v>
      </c>
      <c r="G30" s="180">
        <v>3421.7</v>
      </c>
      <c r="H30" s="193">
        <f t="shared" si="6"/>
        <v>5354.7730829420962</v>
      </c>
      <c r="I30" s="179">
        <v>5962</v>
      </c>
      <c r="J30" s="180">
        <v>29748.400000000001</v>
      </c>
      <c r="K30" s="193">
        <f t="shared" si="7"/>
        <v>4989.6678966789677</v>
      </c>
      <c r="L30" s="182">
        <f t="shared" si="8"/>
        <v>17338</v>
      </c>
      <c r="M30" s="180">
        <f t="shared" si="8"/>
        <v>41704</v>
      </c>
      <c r="N30" s="193">
        <f t="shared" si="9"/>
        <v>2405.3524051216982</v>
      </c>
    </row>
    <row r="31" spans="2:14" x14ac:dyDescent="0.25">
      <c r="B31" s="192" t="s">
        <v>324</v>
      </c>
      <c r="C31" s="179">
        <v>3888</v>
      </c>
      <c r="D31" s="180">
        <v>3489.2999999999993</v>
      </c>
      <c r="E31" s="193">
        <f t="shared" si="5"/>
        <v>897.45370370370347</v>
      </c>
      <c r="F31" s="179">
        <v>437</v>
      </c>
      <c r="G31" s="180">
        <f>[3]Июль!$H$38</f>
        <v>3584.2000000000044</v>
      </c>
      <c r="H31" s="193">
        <f t="shared" si="6"/>
        <v>8201.8306636155703</v>
      </c>
      <c r="I31" s="179">
        <v>2275</v>
      </c>
      <c r="J31" s="180">
        <f>[3]Июль!$H$41</f>
        <v>13671.099999999991</v>
      </c>
      <c r="K31" s="193">
        <f t="shared" si="7"/>
        <v>6009.2747252747213</v>
      </c>
      <c r="L31" s="182">
        <f t="shared" si="8"/>
        <v>6600</v>
      </c>
      <c r="M31" s="180">
        <f t="shared" si="8"/>
        <v>20744.599999999995</v>
      </c>
      <c r="N31" s="193">
        <f t="shared" si="9"/>
        <v>3143.1212121212116</v>
      </c>
    </row>
    <row r="32" spans="2:14" x14ac:dyDescent="0.25">
      <c r="B32" s="192" t="s">
        <v>325</v>
      </c>
      <c r="C32" s="179">
        <v>7062</v>
      </c>
      <c r="D32" s="180">
        <v>6203.5000000000018</v>
      </c>
      <c r="E32" s="193">
        <f t="shared" si="5"/>
        <v>878.43387142452593</v>
      </c>
      <c r="F32" s="179">
        <v>436</v>
      </c>
      <c r="G32" s="180">
        <f>[3]Август!$H$38</f>
        <v>2940.1999999999971</v>
      </c>
      <c r="H32" s="193">
        <v>4232</v>
      </c>
      <c r="I32" s="179">
        <v>5455</v>
      </c>
      <c r="J32" s="180">
        <f>[3]Август!$H$41</f>
        <v>31300.699999999983</v>
      </c>
      <c r="K32" s="193">
        <f t="shared" si="7"/>
        <v>5737.9835013748816</v>
      </c>
      <c r="L32" s="182">
        <f t="shared" si="8"/>
        <v>12953</v>
      </c>
      <c r="M32" s="180">
        <f t="shared" si="8"/>
        <v>40444.39999999998</v>
      </c>
      <c r="N32" s="193">
        <f t="shared" si="9"/>
        <v>3122.3963560565103</v>
      </c>
    </row>
    <row r="33" spans="2:14" x14ac:dyDescent="0.25">
      <c r="B33" s="192" t="s">
        <v>326</v>
      </c>
      <c r="C33" s="179">
        <v>9706</v>
      </c>
      <c r="D33" s="180">
        <v>8434</v>
      </c>
      <c r="E33" s="193">
        <f t="shared" si="5"/>
        <v>868.94704306614472</v>
      </c>
      <c r="F33" s="179">
        <v>434</v>
      </c>
      <c r="G33" s="180">
        <v>3235</v>
      </c>
      <c r="H33" s="193">
        <f t="shared" si="6"/>
        <v>7453.9170506912451</v>
      </c>
      <c r="I33" s="179">
        <v>6273</v>
      </c>
      <c r="J33" s="180">
        <v>35453</v>
      </c>
      <c r="K33" s="193">
        <f t="shared" si="7"/>
        <v>5651.6818109357564</v>
      </c>
      <c r="L33" s="182">
        <f t="shared" si="8"/>
        <v>16413</v>
      </c>
      <c r="M33" s="180">
        <f t="shared" si="8"/>
        <v>47122</v>
      </c>
      <c r="N33" s="193">
        <f t="shared" si="9"/>
        <v>2871.0168768658991</v>
      </c>
    </row>
    <row r="34" spans="2:14" x14ac:dyDescent="0.25">
      <c r="B34" s="192" t="s">
        <v>327</v>
      </c>
      <c r="C34" s="179">
        <v>16888</v>
      </c>
      <c r="D34" s="180">
        <v>18101</v>
      </c>
      <c r="E34" s="193">
        <f t="shared" si="5"/>
        <v>1071.8261487446707</v>
      </c>
      <c r="F34" s="179">
        <v>636</v>
      </c>
      <c r="G34" s="180">
        <v>4802</v>
      </c>
      <c r="H34" s="193">
        <f t="shared" si="6"/>
        <v>7550.3144654088046</v>
      </c>
      <c r="I34" s="179">
        <v>7300</v>
      </c>
      <c r="J34" s="180">
        <v>42014</v>
      </c>
      <c r="K34" s="193">
        <f t="shared" si="7"/>
        <v>5755.3424657534251</v>
      </c>
      <c r="L34" s="182">
        <f t="shared" si="8"/>
        <v>24824</v>
      </c>
      <c r="M34" s="180">
        <f t="shared" si="8"/>
        <v>64917</v>
      </c>
      <c r="N34" s="193">
        <f t="shared" si="9"/>
        <v>2615.0902352562039</v>
      </c>
    </row>
    <row r="35" spans="2:14" x14ac:dyDescent="0.25">
      <c r="B35" s="192" t="s">
        <v>328</v>
      </c>
      <c r="C35" s="179">
        <v>20199</v>
      </c>
      <c r="D35" s="180">
        <v>23885.7</v>
      </c>
      <c r="E35" s="193">
        <f t="shared" si="5"/>
        <v>1182.5189365810188</v>
      </c>
      <c r="F35" s="179">
        <v>775</v>
      </c>
      <c r="G35" s="180">
        <v>5344.5000000000073</v>
      </c>
      <c r="H35" s="193">
        <f t="shared" si="6"/>
        <v>6896.1290322580735</v>
      </c>
      <c r="I35" s="179">
        <v>8053</v>
      </c>
      <c r="J35" s="180">
        <v>41057.399999999987</v>
      </c>
      <c r="K35" s="193">
        <f t="shared" si="7"/>
        <v>5098.3981125046548</v>
      </c>
      <c r="L35" s="182">
        <f t="shared" si="8"/>
        <v>29027</v>
      </c>
      <c r="M35" s="180">
        <f t="shared" si="8"/>
        <v>70287.599999999991</v>
      </c>
      <c r="N35" s="193">
        <f t="shared" si="9"/>
        <v>2421.4558858993346</v>
      </c>
    </row>
    <row r="36" spans="2:14" x14ac:dyDescent="0.25">
      <c r="B36" s="192" t="s">
        <v>329</v>
      </c>
      <c r="C36" s="179">
        <v>25755</v>
      </c>
      <c r="D36" s="180">
        <v>37588.6</v>
      </c>
      <c r="E36" s="193">
        <f t="shared" si="5"/>
        <v>1459.468064453504</v>
      </c>
      <c r="F36" s="179">
        <v>981</v>
      </c>
      <c r="G36" s="180">
        <v>6394.7</v>
      </c>
      <c r="H36" s="193">
        <f t="shared" si="6"/>
        <v>6518.5524974515802</v>
      </c>
      <c r="I36" s="179">
        <v>9393</v>
      </c>
      <c r="J36" s="180">
        <v>43805.599999999999</v>
      </c>
      <c r="K36" s="193">
        <f t="shared" si="7"/>
        <v>4663.6431385073993</v>
      </c>
      <c r="L36" s="182">
        <f t="shared" si="8"/>
        <v>36129</v>
      </c>
      <c r="M36" s="180">
        <f t="shared" si="8"/>
        <v>87788.9</v>
      </c>
      <c r="N36" s="193">
        <f t="shared" si="9"/>
        <v>2429.8735088156327</v>
      </c>
    </row>
    <row r="37" spans="2:14" s="191" customFormat="1" ht="16.5" thickBot="1" x14ac:dyDescent="0.3">
      <c r="B37" s="194" t="s">
        <v>330</v>
      </c>
      <c r="C37" s="184">
        <f>SUM(C25:C36)</f>
        <v>215782</v>
      </c>
      <c r="D37" s="185">
        <f>SUM(D25:D36)</f>
        <v>229362.7</v>
      </c>
      <c r="E37" s="195">
        <f>D37/C37*1000</f>
        <v>1062.9371309933174</v>
      </c>
      <c r="F37" s="187">
        <f>SUM(F25:F36)</f>
        <v>8652</v>
      </c>
      <c r="G37" s="188">
        <f>SUM(G25:G36)</f>
        <v>55838.400000000001</v>
      </c>
      <c r="H37" s="196">
        <f t="shared" si="6"/>
        <v>6453.8141470180308</v>
      </c>
      <c r="I37" s="197">
        <f>SUM(I25:I36)</f>
        <v>89588</v>
      </c>
      <c r="J37" s="188">
        <f>SUM(J25:J36)</f>
        <v>458152.89999999997</v>
      </c>
      <c r="K37" s="198">
        <f t="shared" si="7"/>
        <v>5113.9985265883824</v>
      </c>
      <c r="L37" s="190">
        <f>SUM(L25:L36)</f>
        <v>314022</v>
      </c>
      <c r="M37" s="188">
        <f>SUM(M25:M36)</f>
        <v>743354</v>
      </c>
      <c r="N37" s="198">
        <f>M37/L37*1000</f>
        <v>2367.2035717242743</v>
      </c>
    </row>
  </sheetData>
  <mergeCells count="10">
    <mergeCell ref="B22:B23"/>
    <mergeCell ref="C22:E22"/>
    <mergeCell ref="F22:H22"/>
    <mergeCell ref="I22:K22"/>
    <mergeCell ref="L22:N22"/>
    <mergeCell ref="B4:B6"/>
    <mergeCell ref="C4:E4"/>
    <mergeCell ref="F4:H4"/>
    <mergeCell ref="I4:K4"/>
    <mergeCell ref="L4:N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4</vt:i4>
      </vt:variant>
    </vt:vector>
  </HeadingPairs>
  <TitlesOfParts>
    <vt:vector size="12" baseType="lpstr">
      <vt:lpstr>Лист1</vt:lpstr>
      <vt:lpstr>Листы2-9</vt:lpstr>
      <vt:lpstr>Листы 10-12</vt:lpstr>
      <vt:lpstr>ТЭ+ТН</vt:lpstr>
      <vt:lpstr>2024 перед.</vt:lpstr>
      <vt:lpstr>2024 сбыт</vt:lpstr>
      <vt:lpstr>2024 пр-во</vt:lpstr>
      <vt:lpstr>ТС</vt:lpstr>
      <vt:lpstr>'Листы2-9'!Заголовки_для_печати</vt:lpstr>
      <vt:lpstr>Лист1!Область_печати</vt:lpstr>
      <vt:lpstr>'Листы 10-12'!Область_печати</vt:lpstr>
      <vt:lpstr>'Листы2-9'!Область_печати</vt:lpstr>
    </vt:vector>
  </TitlesOfParts>
  <Company>garant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yulya yaroshenko</dc:creator>
  <cp:lastModifiedBy>Пк</cp:lastModifiedBy>
  <cp:lastPrinted>2025-06-24T05:45:03Z</cp:lastPrinted>
  <dcterms:created xsi:type="dcterms:W3CDTF">2004-09-19T06:34:55Z</dcterms:created>
  <dcterms:modified xsi:type="dcterms:W3CDTF">2025-12-16T22:21:49Z</dcterms:modified>
</cp:coreProperties>
</file>